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Prot curve calculation" sheetId="1" r:id="rId1"/>
    <sheet name="Circuit diagram" sheetId="2" r:id="rId2"/>
    <sheet name="Background tables" sheetId="3" r:id="rId3"/>
    <sheet name="Design notes" sheetId="4" r:id="rId4"/>
  </sheets>
  <externalReferences>
    <externalReference r:id="rId7"/>
  </externalReferences>
  <definedNames>
    <definedName name="solver_adj" localSheetId="0" hidden="1">'Prot curve calculation'!$B$12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'Prot curve calculation'!$J$3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15</definedName>
  </definedNames>
  <calcPr fullCalcOnLoad="1"/>
</workbook>
</file>

<file path=xl/sharedStrings.xml><?xml version="1.0" encoding="utf-8"?>
<sst xmlns="http://schemas.openxmlformats.org/spreadsheetml/2006/main" count="93" uniqueCount="78">
  <si>
    <t>Vce</t>
  </si>
  <si>
    <t>R5</t>
  </si>
  <si>
    <t>R6</t>
  </si>
  <si>
    <t>Vm</t>
  </si>
  <si>
    <t>R7</t>
  </si>
  <si>
    <t>R1</t>
  </si>
  <si>
    <t>Re</t>
  </si>
  <si>
    <t>Vs</t>
  </si>
  <si>
    <t>Zd1</t>
  </si>
  <si>
    <t>Zd2</t>
  </si>
  <si>
    <t>R2</t>
  </si>
  <si>
    <t>R3</t>
  </si>
  <si>
    <t>R4</t>
  </si>
  <si>
    <t>Vb</t>
  </si>
  <si>
    <t>I4, I5</t>
  </si>
  <si>
    <t>I6</t>
  </si>
  <si>
    <t>I7</t>
  </si>
  <si>
    <t>Vre</t>
  </si>
  <si>
    <t>Breakpoints</t>
  </si>
  <si>
    <t>Ic max</t>
  </si>
  <si>
    <t>I5</t>
  </si>
  <si>
    <t>DC SOA</t>
  </si>
  <si>
    <t>100mS SOA</t>
  </si>
  <si>
    <t>Vcc</t>
  </si>
  <si>
    <t>Icprot</t>
  </si>
  <si>
    <t>Res load-1</t>
  </si>
  <si>
    <t>Res load-2</t>
  </si>
  <si>
    <t>Reactive load-1</t>
  </si>
  <si>
    <t>Variables</t>
  </si>
  <si>
    <t>Notes</t>
  </si>
  <si>
    <t>All voltages in V</t>
  </si>
  <si>
    <t>Are resistances in kOhms (Re in ohms)</t>
  </si>
  <si>
    <t>All currents in mA (Ic in Amps)</t>
  </si>
  <si>
    <t>Vce-sat</t>
  </si>
  <si>
    <t>Vm denom slope 2</t>
  </si>
  <si>
    <t>Vm denom slope 1</t>
  </si>
  <si>
    <t>Vm denom slope 3</t>
  </si>
  <si>
    <t>Vm num slope 1</t>
  </si>
  <si>
    <t>Vm num slope 2</t>
  </si>
  <si>
    <t>Vm num slope 3</t>
  </si>
  <si>
    <t>The following procedure should be followed when using this protection system design workbook.</t>
  </si>
  <si>
    <t>1. From the transistor data sheet, determine the SOA values as Vce/Ic pairs and insert them in the appropriate colums in the Background tables sheet.</t>
  </si>
  <si>
    <t>Set only the pos supply value, a bipolar supply is assumed.</t>
  </si>
  <si>
    <t>Set the load resistances for load 1 and load 2. Note that load 1 will be used to calculate the reactive load line shown in the graph.</t>
  </si>
  <si>
    <t>Do this for both the DC SOA and the 100mS SOA (or any other dynamic SOA you are interested in).</t>
  </si>
  <si>
    <t>The curve should respect the SOA curve (not cut the curve but stay below it), while maximizing the allowed operation area.</t>
  </si>
  <si>
    <t>In principle the SOA curve should stay below and to the left of the DC SOA. However, Vce values greater than the supply voltage (single ended) can only be reached with a reactive load and not with a DC value.</t>
  </si>
  <si>
    <t>Notes.</t>
  </si>
  <si>
    <t>Load 1 angle</t>
  </si>
  <si>
    <t>Load 1 angle (radians)</t>
  </si>
  <si>
    <t>Ipk</t>
  </si>
  <si>
    <t>Phi(Vce)</t>
  </si>
  <si>
    <t>Ipk(Phi-PhiL)</t>
  </si>
  <si>
    <t>SIN(PHiVce)</t>
  </si>
  <si>
    <t>2. In the Breakpoint calculation sheet, set the variable table values (green).</t>
  </si>
  <si>
    <t>Rs</t>
  </si>
  <si>
    <t>R14</t>
  </si>
  <si>
    <t>R6-R5 ratio</t>
  </si>
  <si>
    <t>R6+R5</t>
  </si>
  <si>
    <t>D3</t>
  </si>
  <si>
    <t>D2</t>
  </si>
  <si>
    <t>Ir6</t>
  </si>
  <si>
    <t>Ir7</t>
  </si>
  <si>
    <t>Vr7</t>
  </si>
  <si>
    <t>Ir8</t>
  </si>
  <si>
    <t>R8</t>
  </si>
  <si>
    <t>Re and Rs are per output pair!</t>
  </si>
  <si>
    <t>Vbe</t>
  </si>
  <si>
    <t>Set the values for Re, R4, R14 and Vbe (the protection transistor Vbe for conduction).</t>
  </si>
  <si>
    <t xml:space="preserve">R4 can be around 20 times Re; fairly low for good accuracy. R14 should not be too high to present a low impedance to the base of the protection resistor; 100-500 ohms would do. </t>
  </si>
  <si>
    <t>These values are not really critical and can be adjusted later if some 'funny' values appear for the calculated components (R6, R5, D2, D3).</t>
  </si>
  <si>
    <t>Set the initial R6/R5 ratio to 0.5; it can be optimised later.</t>
  </si>
  <si>
    <t xml:space="preserve">It therefore makes sense to at least make sure that at Vce=Vsupply, the protection curve for resistive loads is not above the SOA, but at Vce&gt;Vsupply the 100mS SOA could be used as the limit. </t>
  </si>
  <si>
    <t>The maximum supply voltage supported is 50V single ended for a maximum Vce of twice this value. This is for amplifiers of more than 100W in nominal 8 ohms.</t>
  </si>
  <si>
    <t>Tip: An efficient way of working is to use Exel's solver to vary the R6/R5 ratio for a D3 value of, say 12V, and then 'play' with the other resistor values for a D2 standard zener value as well.</t>
  </si>
  <si>
    <t>Errors, funny things? Let me know at jan@linearaudio.nl !</t>
  </si>
  <si>
    <t>3. Set the initial values for the Breakpoints Vce/Ic pairs you want the protection curve to go through in the Breakpoint calculation sheet (orange). Just set them roughly; you can always adjust them later.</t>
  </si>
  <si>
    <t>Now adjust the values for R4, R14, the R5/R6 ratio as well as the Vce/Ic inflexion point pairs until you are satisfied with the protection curve.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</si>
</sst>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0000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170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49" fontId="0" fillId="4" borderId="1" xfId="2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49" fontId="0" fillId="3" borderId="0" xfId="0" applyNumberFormat="1" applyFill="1" applyAlignment="1">
      <alignment horizontal="left" vertical="top" wrapText="1"/>
    </xf>
    <xf numFmtId="2" fontId="0" fillId="4" borderId="2" xfId="0" applyNumberFormat="1" applyFill="1" applyBorder="1" applyAlignment="1">
      <alignment/>
    </xf>
    <xf numFmtId="170" fontId="0" fillId="4" borderId="2" xfId="0" applyNumberForma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/>
    </xf>
    <xf numFmtId="170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4" fontId="0" fillId="5" borderId="1" xfId="0" applyNumberForma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170" fontId="0" fillId="5" borderId="1" xfId="0" applyNumberFormat="1" applyFill="1" applyBorder="1" applyAlignment="1" applyProtection="1">
      <alignment/>
      <protection locked="0"/>
    </xf>
    <xf numFmtId="2" fontId="6" fillId="5" borderId="1" xfId="0" applyNumberFormat="1" applyFont="1" applyFill="1" applyBorder="1" applyAlignment="1">
      <alignment/>
    </xf>
    <xf numFmtId="172" fontId="6" fillId="5" borderId="1" xfId="0" applyNumberFormat="1" applyFont="1" applyFill="1" applyBorder="1" applyAlignment="1">
      <alignment/>
    </xf>
    <xf numFmtId="170" fontId="6" fillId="2" borderId="1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'Background tables'!$N$1</c:f>
              <c:strCache>
                <c:ptCount val="1"/>
                <c:pt idx="0">
                  <c:v>Icprot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tables'!$N$2:$N$22</c:f>
              <c:numCache>
                <c:ptCount val="21"/>
                <c:pt idx="0">
                  <c:v>28.437511768942777</c:v>
                </c:pt>
                <c:pt idx="1">
                  <c:v>25.07203662322913</c:v>
                </c:pt>
                <c:pt idx="2">
                  <c:v>21.706561477515482</c:v>
                </c:pt>
                <c:pt idx="3">
                  <c:v>18.341086331801833</c:v>
                </c:pt>
                <c:pt idx="4">
                  <c:v>14.975611186088186</c:v>
                </c:pt>
                <c:pt idx="5">
                  <c:v>11.610136040374543</c:v>
                </c:pt>
                <c:pt idx="6">
                  <c:v>8.24466089466089</c:v>
                </c:pt>
                <c:pt idx="7">
                  <c:v>7.031613756613752</c:v>
                </c:pt>
                <c:pt idx="8">
                  <c:v>5.818566618566618</c:v>
                </c:pt>
                <c:pt idx="9">
                  <c:v>4.605519480519487</c:v>
                </c:pt>
                <c:pt idx="10">
                  <c:v>4.227426866063233</c:v>
                </c:pt>
                <c:pt idx="11">
                  <c:v>3.849334251606981</c:v>
                </c:pt>
                <c:pt idx="12">
                  <c:v>3.4712416371507286</c:v>
                </c:pt>
                <c:pt idx="13">
                  <c:v>3.093149022694476</c:v>
                </c:pt>
                <c:pt idx="14">
                  <c:v>2.715056408238229</c:v>
                </c:pt>
                <c:pt idx="15">
                  <c:v>2.336963793781972</c:v>
                </c:pt>
                <c:pt idx="16">
                  <c:v>1.958871179325725</c:v>
                </c:pt>
                <c:pt idx="17">
                  <c:v>1.5807785648694728</c:v>
                </c:pt>
                <c:pt idx="18">
                  <c:v>1.2026859504132201</c:v>
                </c:pt>
                <c:pt idx="19">
                  <c:v>0.824593335956968</c:v>
                </c:pt>
                <c:pt idx="20">
                  <c:v>0.4465007215007209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'Background tables'!$O$1</c:f>
              <c:strCache>
                <c:ptCount val="1"/>
                <c:pt idx="0">
                  <c:v>DC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tables'!$O$2:$O$22</c:f>
              <c:numCach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22.5</c:v>
                </c:pt>
                <c:pt idx="4">
                  <c:v>15</c:v>
                </c:pt>
                <c:pt idx="5">
                  <c:v>12.5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1.75</c:v>
                </c:pt>
                <c:pt idx="16">
                  <c:v>1.5</c:v>
                </c:pt>
                <c:pt idx="17">
                  <c:v>1.3</c:v>
                </c:pt>
                <c:pt idx="18">
                  <c:v>1.1</c:v>
                </c:pt>
                <c:pt idx="19">
                  <c:v>1</c:v>
                </c:pt>
                <c:pt idx="20">
                  <c:v>0.9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'Background tables'!$P$1</c:f>
              <c:strCache>
                <c:ptCount val="1"/>
                <c:pt idx="0">
                  <c:v>100mS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tables'!$P$2:$P$22</c:f>
              <c:numCach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16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5.2</c:v>
                </c:pt>
                <c:pt idx="14">
                  <c:v>4.4</c:v>
                </c:pt>
                <c:pt idx="15">
                  <c:v>3.95</c:v>
                </c:pt>
                <c:pt idx="16">
                  <c:v>3.5</c:v>
                </c:pt>
                <c:pt idx="17">
                  <c:v>3</c:v>
                </c:pt>
                <c:pt idx="18">
                  <c:v>2.5</c:v>
                </c:pt>
                <c:pt idx="19">
                  <c:v>2.15</c:v>
                </c:pt>
                <c:pt idx="20">
                  <c:v>1.8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'Background tables'!$Q$1</c:f>
              <c:strCache>
                <c:ptCount val="1"/>
                <c:pt idx="0">
                  <c:v>Res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tables'!$Q$2:$Q$22</c:f>
              <c:numCache>
                <c:ptCount val="21"/>
                <c:pt idx="0">
                  <c:v>10.5</c:v>
                </c:pt>
                <c:pt idx="1">
                  <c:v>9.25</c:v>
                </c:pt>
                <c:pt idx="2">
                  <c:v>8</c:v>
                </c:pt>
                <c:pt idx="3">
                  <c:v>6.75</c:v>
                </c:pt>
                <c:pt idx="4">
                  <c:v>5.5</c:v>
                </c:pt>
                <c:pt idx="5">
                  <c:v>4.25</c:v>
                </c:pt>
                <c:pt idx="6">
                  <c:v>3</c:v>
                </c:pt>
                <c:pt idx="7">
                  <c:v>1.75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'Background tables'!$R$1</c:f>
              <c:strCache>
                <c:ptCount val="1"/>
                <c:pt idx="0">
                  <c:v>Res load-2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tables'!$R$2:$R$22</c:f>
              <c:numCache>
                <c:ptCount val="21"/>
                <c:pt idx="0">
                  <c:v>21</c:v>
                </c:pt>
                <c:pt idx="1">
                  <c:v>18.5</c:v>
                </c:pt>
                <c:pt idx="2">
                  <c:v>16</c:v>
                </c:pt>
                <c:pt idx="3">
                  <c:v>13.5</c:v>
                </c:pt>
                <c:pt idx="4">
                  <c:v>11</c:v>
                </c:pt>
                <c:pt idx="5">
                  <c:v>8.5</c:v>
                </c:pt>
                <c:pt idx="6">
                  <c:v>6</c:v>
                </c:pt>
                <c:pt idx="7">
                  <c:v>3.5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'Background tables'!$S$1</c:f>
              <c:strCache>
                <c:ptCount val="1"/>
                <c:pt idx="0">
                  <c:v>Reactive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'Background tables'!$S$2:$S$22</c:f>
              <c:numCache>
                <c:ptCount val="21"/>
                <c:pt idx="0">
                  <c:v>10.5</c:v>
                </c:pt>
                <c:pt idx="1">
                  <c:v>9.875</c:v>
                </c:pt>
                <c:pt idx="2">
                  <c:v>9.25</c:v>
                </c:pt>
                <c:pt idx="3">
                  <c:v>8.625</c:v>
                </c:pt>
                <c:pt idx="4">
                  <c:v>8</c:v>
                </c:pt>
                <c:pt idx="5">
                  <c:v>7.375</c:v>
                </c:pt>
                <c:pt idx="6">
                  <c:v>6.75</c:v>
                </c:pt>
                <c:pt idx="7">
                  <c:v>6.125</c:v>
                </c:pt>
                <c:pt idx="8">
                  <c:v>5.5</c:v>
                </c:pt>
                <c:pt idx="9">
                  <c:v>4.875</c:v>
                </c:pt>
                <c:pt idx="10">
                  <c:v>4.25</c:v>
                </c:pt>
                <c:pt idx="11">
                  <c:v>3.625</c:v>
                </c:pt>
                <c:pt idx="12">
                  <c:v>3</c:v>
                </c:pt>
                <c:pt idx="13">
                  <c:v>2.375</c:v>
                </c:pt>
                <c:pt idx="14">
                  <c:v>1.75</c:v>
                </c:pt>
                <c:pt idx="15">
                  <c:v>1.125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1578301"/>
        <c:axId val="23514598"/>
      </c:scatterChart>
      <c:valAx>
        <c:axId val="3157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14598"/>
        <c:crosses val="autoZero"/>
        <c:crossBetween val="midCat"/>
        <c:dispUnits/>
      </c:valAx>
      <c:valAx>
        <c:axId val="23514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8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'Background tables'!$N$1</c:f>
              <c:strCache>
                <c:ptCount val="1"/>
                <c:pt idx="0">
                  <c:v>Icprot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tables'!$N$2:$N$22</c:f>
              <c:numCache>
                <c:ptCount val="21"/>
                <c:pt idx="0">
                  <c:v>28.437511768942777</c:v>
                </c:pt>
                <c:pt idx="1">
                  <c:v>25.07203662322913</c:v>
                </c:pt>
                <c:pt idx="2">
                  <c:v>21.706561477515482</c:v>
                </c:pt>
                <c:pt idx="3">
                  <c:v>18.341086331801833</c:v>
                </c:pt>
                <c:pt idx="4">
                  <c:v>14.975611186088186</c:v>
                </c:pt>
                <c:pt idx="5">
                  <c:v>11.610136040374543</c:v>
                </c:pt>
                <c:pt idx="6">
                  <c:v>8.24466089466089</c:v>
                </c:pt>
                <c:pt idx="7">
                  <c:v>7.3348755411255375</c:v>
                </c:pt>
                <c:pt idx="8">
                  <c:v>6.425090187590183</c:v>
                </c:pt>
                <c:pt idx="9">
                  <c:v>5.515304834054832</c:v>
                </c:pt>
                <c:pt idx="10">
                  <c:v>4.60551948051948</c:v>
                </c:pt>
                <c:pt idx="11">
                  <c:v>4.189617604617602</c:v>
                </c:pt>
                <c:pt idx="12">
                  <c:v>3.7737157287157284</c:v>
                </c:pt>
                <c:pt idx="13">
                  <c:v>3.3578138528138597</c:v>
                </c:pt>
                <c:pt idx="14">
                  <c:v>2.941911976911977</c:v>
                </c:pt>
                <c:pt idx="15">
                  <c:v>2.5260101010101033</c:v>
                </c:pt>
                <c:pt idx="16">
                  <c:v>2.110108225108225</c:v>
                </c:pt>
                <c:pt idx="17">
                  <c:v>1.694206349206351</c:v>
                </c:pt>
                <c:pt idx="18">
                  <c:v>1.2783044733044728</c:v>
                </c:pt>
                <c:pt idx="19">
                  <c:v>0.8624025974025944</c:v>
                </c:pt>
                <c:pt idx="20">
                  <c:v>0.4465007215007209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'Background tables'!$O$1</c:f>
              <c:strCache>
                <c:ptCount val="1"/>
                <c:pt idx="0">
                  <c:v>DC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tables'!$O$2:$O$22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'Background tables'!$P$1</c:f>
              <c:strCache>
                <c:ptCount val="1"/>
                <c:pt idx="0">
                  <c:v>100mS SOA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tables'!$P$2:$P$22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'Background tables'!$Q$1</c:f>
              <c:strCache>
                <c:ptCount val="1"/>
                <c:pt idx="0">
                  <c:v>Res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tables'!$Q$2:$Q$22</c:f>
              <c:numCache>
                <c:ptCount val="21"/>
                <c:pt idx="0">
                  <c:v>10.5</c:v>
                </c:pt>
                <c:pt idx="1">
                  <c:v>9.25</c:v>
                </c:pt>
                <c:pt idx="2">
                  <c:v>8</c:v>
                </c:pt>
                <c:pt idx="3">
                  <c:v>6.75</c:v>
                </c:pt>
                <c:pt idx="4">
                  <c:v>5.5</c:v>
                </c:pt>
                <c:pt idx="5">
                  <c:v>4.25</c:v>
                </c:pt>
                <c:pt idx="6">
                  <c:v>3</c:v>
                </c:pt>
                <c:pt idx="7">
                  <c:v>1.75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'Background tables'!$R$1</c:f>
              <c:strCache>
                <c:ptCount val="1"/>
                <c:pt idx="0">
                  <c:v>Res load-2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tables'!$R$2:$R$22</c:f>
              <c:numCache>
                <c:ptCount val="21"/>
                <c:pt idx="0">
                  <c:v>21</c:v>
                </c:pt>
                <c:pt idx="1">
                  <c:v>18.5</c:v>
                </c:pt>
                <c:pt idx="2">
                  <c:v>16</c:v>
                </c:pt>
                <c:pt idx="3">
                  <c:v>13.5</c:v>
                </c:pt>
                <c:pt idx="4">
                  <c:v>11</c:v>
                </c:pt>
                <c:pt idx="5">
                  <c:v>8.5</c:v>
                </c:pt>
                <c:pt idx="6">
                  <c:v>6</c:v>
                </c:pt>
                <c:pt idx="7">
                  <c:v>3.5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'Background tables'!$S$1</c:f>
              <c:strCache>
                <c:ptCount val="1"/>
                <c:pt idx="0">
                  <c:v>Reactive load-1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'Background tables'!$M$2:$M$22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'Background tables'!$S$2:$S$22</c:f>
              <c:numCache>
                <c:ptCount val="21"/>
                <c:pt idx="0">
                  <c:v>10.5</c:v>
                </c:pt>
                <c:pt idx="1">
                  <c:v>9.875</c:v>
                </c:pt>
                <c:pt idx="2">
                  <c:v>9.25</c:v>
                </c:pt>
                <c:pt idx="3">
                  <c:v>8.625</c:v>
                </c:pt>
                <c:pt idx="4">
                  <c:v>8</c:v>
                </c:pt>
                <c:pt idx="5">
                  <c:v>7.375</c:v>
                </c:pt>
                <c:pt idx="6">
                  <c:v>6.75</c:v>
                </c:pt>
                <c:pt idx="7">
                  <c:v>6.125</c:v>
                </c:pt>
                <c:pt idx="8">
                  <c:v>5.5</c:v>
                </c:pt>
                <c:pt idx="9">
                  <c:v>4.875</c:v>
                </c:pt>
                <c:pt idx="10">
                  <c:v>4.25</c:v>
                </c:pt>
                <c:pt idx="11">
                  <c:v>3.625</c:v>
                </c:pt>
                <c:pt idx="12">
                  <c:v>3</c:v>
                </c:pt>
                <c:pt idx="13">
                  <c:v>2.375</c:v>
                </c:pt>
                <c:pt idx="14">
                  <c:v>1.75</c:v>
                </c:pt>
                <c:pt idx="15">
                  <c:v>1.125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'[1]Sheet1'!$F$6:$F$24</c:f>
              <c:numCache>
                <c:ptCount val="19"/>
                <c:pt idx="0">
                  <c:v>86.97114317029974</c:v>
                </c:pt>
                <c:pt idx="1">
                  <c:v>82.47199994035401</c:v>
                </c:pt>
                <c:pt idx="2">
                  <c:v>76.92544243589427</c:v>
                </c:pt>
                <c:pt idx="3">
                  <c:v>70.5</c:v>
                </c:pt>
                <c:pt idx="4">
                  <c:v>63.39090644965509</c:v>
                </c:pt>
                <c:pt idx="5">
                  <c:v>55.814167995011864</c:v>
                </c:pt>
                <c:pt idx="6">
                  <c:v>48</c:v>
                </c:pt>
                <c:pt idx="7">
                  <c:v>40.185832004988136</c:v>
                </c:pt>
                <c:pt idx="8">
                  <c:v>32.60909355034491</c:v>
                </c:pt>
                <c:pt idx="9">
                  <c:v>25.500000000000004</c:v>
                </c:pt>
                <c:pt idx="10">
                  <c:v>19.074557564105735</c:v>
                </c:pt>
                <c:pt idx="11">
                  <c:v>13.52800005964599</c:v>
                </c:pt>
                <c:pt idx="12">
                  <c:v>9.02885682970026</c:v>
                </c:pt>
                <c:pt idx="13">
                  <c:v>5.713832064634126</c:v>
                </c:pt>
                <c:pt idx="14">
                  <c:v>3.6836511144506403</c:v>
                </c:pt>
                <c:pt idx="15">
                  <c:v>3</c:v>
                </c:pt>
                <c:pt idx="16">
                  <c:v>3.6836511144506403</c:v>
                </c:pt>
                <c:pt idx="17">
                  <c:v>5.7138320646341185</c:v>
                </c:pt>
                <c:pt idx="18">
                  <c:v>9.02885682970026</c:v>
                </c:pt>
              </c:numCache>
            </c:numRef>
          </c:xVal>
          <c:yVal>
            <c:numRef>
              <c:f>'[1]Sheet1'!$G$6:$G$24</c:f>
              <c:numCache>
                <c:ptCount val="19"/>
                <c:pt idx="0">
                  <c:v>-1.4558571287016788</c:v>
                </c:pt>
                <c:pt idx="1">
                  <c:v>-0.49025105295557725</c:v>
                </c:pt>
                <c:pt idx="2">
                  <c:v>0.49025105295557725</c:v>
                </c:pt>
                <c:pt idx="3">
                  <c:v>1.4558571287016795</c:v>
                </c:pt>
                <c:pt idx="4">
                  <c:v>2.377227722291434</c:v>
                </c:pt>
                <c:pt idx="5">
                  <c:v>3.226367454474634</c:v>
                </c:pt>
                <c:pt idx="6">
                  <c:v>3.9774756441743295</c:v>
                </c:pt>
                <c:pt idx="7">
                  <c:v>4.607730249125579</c:v>
                </c:pt>
                <c:pt idx="8">
                  <c:v>5.0979813020811555</c:v>
                </c:pt>
                <c:pt idx="9">
                  <c:v>5.433332772876009</c:v>
                </c:pt>
                <c:pt idx="10">
                  <c:v>5.603595176766069</c:v>
                </c:pt>
                <c:pt idx="11">
                  <c:v>5.603595176766069</c:v>
                </c:pt>
                <c:pt idx="12">
                  <c:v>5.4333327728760095</c:v>
                </c:pt>
                <c:pt idx="13">
                  <c:v>5.097981302081156</c:v>
                </c:pt>
                <c:pt idx="14">
                  <c:v>4.607730249125578</c:v>
                </c:pt>
                <c:pt idx="15">
                  <c:v>3.97747564417433</c:v>
                </c:pt>
                <c:pt idx="16">
                  <c:v>3.226367454474636</c:v>
                </c:pt>
                <c:pt idx="17">
                  <c:v>2.3772277222914346</c:v>
                </c:pt>
                <c:pt idx="18">
                  <c:v>1.4558571287016808</c:v>
                </c:pt>
              </c:numCache>
            </c:numRef>
          </c:yVal>
          <c:smooth val="0"/>
        </c:ser>
        <c:axId val="38844055"/>
        <c:axId val="17043728"/>
      </c:scatterChart>
      <c:valAx>
        <c:axId val="3884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3728"/>
        <c:crosses val="autoZero"/>
        <c:crossBetween val="midCat"/>
        <c:dispUnits/>
      </c:valAx>
      <c:valAx>
        <c:axId val="1704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4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85725</xdr:rowOff>
    </xdr:from>
    <xdr:to>
      <xdr:col>18</xdr:col>
      <xdr:colOff>428625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286000" y="1057275"/>
        <a:ext cx="94202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28575</xdr:colOff>
      <xdr:row>34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7151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22</xdr:row>
      <xdr:rowOff>76200</xdr:rowOff>
    </xdr:from>
    <xdr:to>
      <xdr:col>21</xdr:col>
      <xdr:colOff>381000</xdr:colOff>
      <xdr:row>32</xdr:row>
      <xdr:rowOff>114300</xdr:rowOff>
    </xdr:to>
    <xdr:graphicFrame>
      <xdr:nvGraphicFramePr>
        <xdr:cNvPr id="1" name="Chart 9"/>
        <xdr:cNvGraphicFramePr/>
      </xdr:nvGraphicFramePr>
      <xdr:xfrm>
        <a:off x="6238875" y="3800475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eman\Bureaublad\reactive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86.97114317029974</v>
          </cell>
          <cell r="G6">
            <v>-1.4558571287016788</v>
          </cell>
        </row>
        <row r="7">
          <cell r="F7">
            <v>82.47199994035401</v>
          </cell>
          <cell r="G7">
            <v>-0.49025105295557725</v>
          </cell>
        </row>
        <row r="8">
          <cell r="F8">
            <v>76.92544243589427</v>
          </cell>
          <cell r="G8">
            <v>0.49025105295557725</v>
          </cell>
        </row>
        <row r="9">
          <cell r="F9">
            <v>70.5</v>
          </cell>
          <cell r="G9">
            <v>1.4558571287016795</v>
          </cell>
        </row>
        <row r="10">
          <cell r="F10">
            <v>63.39090644965509</v>
          </cell>
          <cell r="G10">
            <v>2.377227722291434</v>
          </cell>
        </row>
        <row r="11">
          <cell r="F11">
            <v>55.814167995011864</v>
          </cell>
          <cell r="G11">
            <v>3.226367454474634</v>
          </cell>
        </row>
        <row r="12">
          <cell r="F12">
            <v>48</v>
          </cell>
          <cell r="G12">
            <v>3.9774756441743295</v>
          </cell>
        </row>
        <row r="13">
          <cell r="F13">
            <v>40.185832004988136</v>
          </cell>
          <cell r="G13">
            <v>4.607730249125579</v>
          </cell>
        </row>
        <row r="14">
          <cell r="F14">
            <v>32.60909355034491</v>
          </cell>
          <cell r="G14">
            <v>5.0979813020811555</v>
          </cell>
        </row>
        <row r="15">
          <cell r="F15">
            <v>25.500000000000004</v>
          </cell>
          <cell r="G15">
            <v>5.433332772876009</v>
          </cell>
        </row>
        <row r="16">
          <cell r="F16">
            <v>19.074557564105735</v>
          </cell>
          <cell r="G16">
            <v>5.603595176766069</v>
          </cell>
        </row>
        <row r="17">
          <cell r="F17">
            <v>13.52800005964599</v>
          </cell>
          <cell r="G17">
            <v>5.603595176766069</v>
          </cell>
        </row>
        <row r="18">
          <cell r="F18">
            <v>9.02885682970026</v>
          </cell>
          <cell r="G18">
            <v>5.4333327728760095</v>
          </cell>
        </row>
        <row r="19">
          <cell r="F19">
            <v>5.713832064634126</v>
          </cell>
          <cell r="G19">
            <v>5.097981302081156</v>
          </cell>
        </row>
        <row r="20">
          <cell r="F20">
            <v>3.6836511144506403</v>
          </cell>
          <cell r="G20">
            <v>4.607730249125578</v>
          </cell>
        </row>
        <row r="21">
          <cell r="F21">
            <v>3</v>
          </cell>
          <cell r="G21">
            <v>3.97747564417433</v>
          </cell>
        </row>
        <row r="22">
          <cell r="F22">
            <v>3.6836511144506403</v>
          </cell>
          <cell r="G22">
            <v>3.226367454474636</v>
          </cell>
        </row>
        <row r="23">
          <cell r="F23">
            <v>5.7138320646341185</v>
          </cell>
          <cell r="G23">
            <v>2.3772277222914346</v>
          </cell>
        </row>
        <row r="24">
          <cell r="F24">
            <v>9.02885682970026</v>
          </cell>
          <cell r="G24">
            <v>1.4558571287016808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140625" style="0" customWidth="1"/>
    <col min="6" max="6" width="10.7109375" style="0" customWidth="1"/>
  </cols>
  <sheetData>
    <row r="1" spans="1:17" ht="12.75">
      <c r="A1" s="13" t="s">
        <v>18</v>
      </c>
      <c r="B1" s="41" t="s">
        <v>0</v>
      </c>
      <c r="C1" s="42" t="s">
        <v>19</v>
      </c>
      <c r="D1" s="12" t="s">
        <v>7</v>
      </c>
      <c r="E1" s="12" t="s">
        <v>20</v>
      </c>
      <c r="F1" s="12" t="s">
        <v>58</v>
      </c>
      <c r="G1" s="12" t="s">
        <v>2</v>
      </c>
      <c r="H1" s="12" t="s">
        <v>1</v>
      </c>
      <c r="I1" s="12" t="s">
        <v>3</v>
      </c>
      <c r="J1" s="12" t="s">
        <v>59</v>
      </c>
      <c r="K1" s="12" t="s">
        <v>60</v>
      </c>
      <c r="L1" s="12" t="s">
        <v>61</v>
      </c>
      <c r="M1" s="12" t="s">
        <v>62</v>
      </c>
      <c r="N1" s="12" t="s">
        <v>63</v>
      </c>
      <c r="O1" s="12" t="s">
        <v>4</v>
      </c>
      <c r="P1" s="12" t="s">
        <v>64</v>
      </c>
      <c r="Q1" s="12" t="s">
        <v>65</v>
      </c>
    </row>
    <row r="2" spans="2:5" ht="12.75">
      <c r="B2" s="41">
        <v>0</v>
      </c>
      <c r="C2" s="43">
        <v>28</v>
      </c>
      <c r="D2" s="24">
        <f>($B$7*C2)*$B$8/($B$8+$B$9)</f>
        <v>0.65</v>
      </c>
      <c r="E2" s="24">
        <f>($B$11-D2)/$B$10</f>
        <v>0</v>
      </c>
    </row>
    <row r="3" spans="2:10" ht="12.75">
      <c r="B3" s="41">
        <v>30</v>
      </c>
      <c r="C3" s="43">
        <v>9</v>
      </c>
      <c r="D3" s="24">
        <f>($B$7*C3)*$B$8/($B$8+$B$9)</f>
        <v>0.2089285714285714</v>
      </c>
      <c r="E3" s="26">
        <f>($B$11-D3)/$B$10</f>
        <v>1.6335978835978837</v>
      </c>
      <c r="F3" s="26">
        <f>(B3-B11)/E3</f>
        <v>17.96647773279352</v>
      </c>
      <c r="G3" s="33">
        <f>F3*B12</f>
        <v>9.18218623481782</v>
      </c>
      <c r="H3" s="33">
        <f>F3-G3</f>
        <v>8.784291497975701</v>
      </c>
      <c r="I3" s="26">
        <f>B3-(G3*E3)</f>
        <v>14.99999999999999</v>
      </c>
      <c r="J3" s="33">
        <f>I3</f>
        <v>14.99999999999999</v>
      </c>
    </row>
    <row r="4" spans="2:17" ht="12.75">
      <c r="B4" s="41">
        <v>45</v>
      </c>
      <c r="C4" s="43">
        <v>5.5</v>
      </c>
      <c r="D4" s="24">
        <f>($B$7*C4)*$B$8/($B$8+$B$9)</f>
        <v>0.12767857142857142</v>
      </c>
      <c r="E4" s="26">
        <f>($B$11-D4)/$B$10</f>
        <v>1.9345238095238095</v>
      </c>
      <c r="F4" s="2"/>
      <c r="I4" s="26">
        <f>B11+(E4*H3)</f>
        <v>17.643421052631563</v>
      </c>
      <c r="K4" s="34">
        <f>I4</f>
        <v>17.643421052631563</v>
      </c>
      <c r="L4" s="26">
        <f>(B4-I4)/G3</f>
        <v>2.9793099647266312</v>
      </c>
      <c r="M4" s="26">
        <f>L4-E4</f>
        <v>1.0447861552028217</v>
      </c>
      <c r="N4" s="26">
        <f>I4-J3</f>
        <v>2.643421052631574</v>
      </c>
      <c r="O4" s="33">
        <f>N4/M4</f>
        <v>2.5301072755107605</v>
      </c>
      <c r="P4" s="3"/>
      <c r="Q4" s="3"/>
    </row>
    <row r="5" spans="2:17" ht="12.75">
      <c r="B5" s="41">
        <v>100</v>
      </c>
      <c r="C5" s="43">
        <v>1.5</v>
      </c>
      <c r="D5" s="24">
        <f>($B$7*C5)*$B$8/($B$8+$B$9)</f>
        <v>0.03482142857142857</v>
      </c>
      <c r="E5" s="26">
        <f>($B$11-D5)/$B$10</f>
        <v>2.2784391534391535</v>
      </c>
      <c r="F5" s="2"/>
      <c r="I5" s="26">
        <f>(E5*H3)+B11</f>
        <v>20.66447368421051</v>
      </c>
      <c r="L5" s="26">
        <f>(B5-I5)/G3</f>
        <v>8.640156525573188</v>
      </c>
      <c r="M5" s="26">
        <f>(I5-J3)/O4</f>
        <v>2.23882747543462</v>
      </c>
      <c r="N5" s="3"/>
      <c r="O5" s="3"/>
      <c r="P5" s="26">
        <f>(L5-E5-M5)</f>
        <v>4.122889896699414</v>
      </c>
      <c r="Q5" s="33">
        <f>(I5-K4)/P5</f>
        <v>0.7327512272392854</v>
      </c>
    </row>
    <row r="6" ht="12.75">
      <c r="A6" s="28" t="s">
        <v>28</v>
      </c>
    </row>
    <row r="7" spans="1:2" ht="12.75">
      <c r="A7" s="7" t="s">
        <v>6</v>
      </c>
      <c r="B7" s="8">
        <v>0.22</v>
      </c>
    </row>
    <row r="8" spans="1:2" ht="12.75">
      <c r="A8" s="7" t="s">
        <v>12</v>
      </c>
      <c r="B8" s="9">
        <v>0.012</v>
      </c>
    </row>
    <row r="9" spans="1:2" ht="12.75">
      <c r="A9" s="7" t="s">
        <v>55</v>
      </c>
      <c r="B9" s="35">
        <f>B8*(C2*B7/B11-1)</f>
        <v>0.10172307692307693</v>
      </c>
    </row>
    <row r="10" spans="1:2" ht="12.75">
      <c r="A10" s="7" t="s">
        <v>56</v>
      </c>
      <c r="B10" s="9">
        <v>0.27</v>
      </c>
    </row>
    <row r="11" spans="1:2" ht="12.75">
      <c r="A11" s="7" t="s">
        <v>67</v>
      </c>
      <c r="B11" s="8">
        <v>0.65</v>
      </c>
    </row>
    <row r="12" spans="1:2" ht="12.75">
      <c r="A12" s="7" t="s">
        <v>57</v>
      </c>
      <c r="B12" s="9">
        <v>0.5110732538330498</v>
      </c>
    </row>
    <row r="13" spans="1:2" ht="12.75">
      <c r="A13" s="7" t="s">
        <v>23</v>
      </c>
      <c r="B13" s="10">
        <v>44</v>
      </c>
    </row>
    <row r="14" spans="1:2" ht="12.75">
      <c r="A14" s="7" t="s">
        <v>25</v>
      </c>
      <c r="B14" s="11">
        <v>4</v>
      </c>
    </row>
    <row r="15" spans="1:2" ht="12.75">
      <c r="A15" s="7" t="s">
        <v>26</v>
      </c>
      <c r="B15" s="11">
        <v>2</v>
      </c>
    </row>
    <row r="16" spans="1:2" ht="12.75">
      <c r="A16" s="38" t="s">
        <v>48</v>
      </c>
      <c r="B16" s="11">
        <v>-45</v>
      </c>
    </row>
    <row r="17" spans="1:2" ht="12.75">
      <c r="A17" s="7" t="s">
        <v>33</v>
      </c>
      <c r="B17" s="11">
        <v>2</v>
      </c>
    </row>
    <row r="20" spans="1:4" ht="12.75">
      <c r="A20" s="29" t="s">
        <v>29</v>
      </c>
      <c r="B20" s="30"/>
      <c r="C20" s="31"/>
      <c r="D20" s="31"/>
    </row>
    <row r="21" spans="1:4" ht="12.75">
      <c r="A21" s="29" t="s">
        <v>31</v>
      </c>
      <c r="B21" s="30"/>
      <c r="C21" s="31"/>
      <c r="D21" s="31"/>
    </row>
    <row r="22" spans="1:4" ht="12.75">
      <c r="A22" s="29" t="s">
        <v>32</v>
      </c>
      <c r="B22" s="30"/>
      <c r="C22" s="31"/>
      <c r="D22" s="31"/>
    </row>
    <row r="23" spans="1:4" ht="12.75">
      <c r="A23" s="29" t="s">
        <v>30</v>
      </c>
      <c r="B23" s="30"/>
      <c r="C23" s="31"/>
      <c r="D23" s="31"/>
    </row>
    <row r="24" spans="1:4" ht="12.75">
      <c r="A24" s="29" t="s">
        <v>66</v>
      </c>
      <c r="B24" s="31"/>
      <c r="C24" s="31"/>
      <c r="D24" s="3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3" sqref="N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F1">
      <selection activeCell="I27" sqref="I27"/>
    </sheetView>
  </sheetViews>
  <sheetFormatPr defaultColWidth="9.140625" defaultRowHeight="12.75"/>
  <cols>
    <col min="1" max="1" width="11.28125" style="0" customWidth="1"/>
    <col min="2" max="2" width="6.00390625" style="0" customWidth="1"/>
    <col min="3" max="3" width="8.00390625" style="0" customWidth="1"/>
    <col min="4" max="6" width="10.57421875" style="0" customWidth="1"/>
    <col min="7" max="7" width="8.140625" style="0" customWidth="1"/>
    <col min="8" max="8" width="7.28125" style="0" customWidth="1"/>
    <col min="9" max="9" width="8.28125" style="0" customWidth="1"/>
    <col min="10" max="10" width="9.421875" style="0" customWidth="1"/>
    <col min="12" max="12" width="7.8515625" style="0" customWidth="1"/>
    <col min="13" max="13" width="6.7109375" style="0" customWidth="1"/>
    <col min="17" max="17" width="6.8515625" style="0" customWidth="1"/>
    <col min="18" max="18" width="6.28125" style="0" customWidth="1"/>
  </cols>
  <sheetData>
    <row r="1" spans="3:22" ht="25.5">
      <c r="C1" s="12" t="s">
        <v>0</v>
      </c>
      <c r="D1" s="19" t="s">
        <v>37</v>
      </c>
      <c r="E1" s="19" t="s">
        <v>38</v>
      </c>
      <c r="F1" s="19" t="s">
        <v>39</v>
      </c>
      <c r="G1" s="12" t="s">
        <v>3</v>
      </c>
      <c r="H1" s="12" t="s">
        <v>14</v>
      </c>
      <c r="I1" s="12" t="s">
        <v>7</v>
      </c>
      <c r="J1" s="12" t="s">
        <v>15</v>
      </c>
      <c r="K1" s="12" t="s">
        <v>16</v>
      </c>
      <c r="L1" s="12" t="s">
        <v>17</v>
      </c>
      <c r="M1" s="12" t="s">
        <v>0</v>
      </c>
      <c r="N1" s="12" t="s">
        <v>24</v>
      </c>
      <c r="O1" s="12" t="s">
        <v>21</v>
      </c>
      <c r="P1" s="40" t="s">
        <v>22</v>
      </c>
      <c r="Q1" s="40" t="s">
        <v>25</v>
      </c>
      <c r="R1" s="40" t="s">
        <v>26</v>
      </c>
      <c r="S1" s="40" t="s">
        <v>27</v>
      </c>
      <c r="T1" s="40" t="s">
        <v>52</v>
      </c>
      <c r="U1" s="40" t="s">
        <v>53</v>
      </c>
      <c r="V1" s="40" t="s">
        <v>51</v>
      </c>
    </row>
    <row r="2" spans="1:22" ht="12.75">
      <c r="A2" s="17" t="s">
        <v>8</v>
      </c>
      <c r="B2" s="20">
        <f>'Prot curve calculation'!J3</f>
        <v>14.99999999999999</v>
      </c>
      <c r="C2" s="24">
        <v>0</v>
      </c>
      <c r="D2" s="25">
        <f aca="true" t="shared" si="0" ref="D2:D22">($B$15*C2+$B$14*$B$7)</f>
        <v>5.968421052631583</v>
      </c>
      <c r="E2" s="25">
        <f>(($B$15*$B$5*C2)+($B$5*$B$14*$B$7)+($B$14*$B$15*$B$2))</f>
        <v>1224.9857526586695</v>
      </c>
      <c r="F2" s="25">
        <f>(($B$5*$B$6*$B$15*C2)+($B$5*$B$6*$B$14*$B$7)+($B$6*$B$14*$B$15*$B$2)+($B$5*$B$14*$B$15*$B$3))</f>
        <v>4498.207266355688</v>
      </c>
      <c r="G2" s="26">
        <f>(IF(C2&lt;='Prot curve calculation'!$B$3,D2/$C$25,IF(C2&gt;='Prot curve calculation'!$B$4,F2/$C$27,E2/$C$26)))</f>
        <v>0.33219761499148237</v>
      </c>
      <c r="H2" s="26">
        <f>(G2-$B$7)/$B$15</f>
        <v>-0.03617848805242332</v>
      </c>
      <c r="I2" s="25">
        <f aca="true" t="shared" si="1" ref="I2:I22">($B$7-(H2*$B$10))</f>
        <v>0.6597681917741544</v>
      </c>
      <c r="J2" s="25">
        <f aca="true" t="shared" si="2" ref="J2:J22">I2/$B$11</f>
        <v>54.980682647846194</v>
      </c>
      <c r="K2" s="26">
        <f>J2-H2</f>
        <v>55.016861135898615</v>
      </c>
      <c r="L2" s="27">
        <f aca="true" t="shared" si="3" ref="L2:L22">(I2+(K2*$B$12))</f>
        <v>6.256252589167411</v>
      </c>
      <c r="M2" s="24">
        <v>0</v>
      </c>
      <c r="N2" s="25">
        <f aca="true" t="shared" si="4" ref="N2:N22">L2/$B$13</f>
        <v>28.437511768942777</v>
      </c>
      <c r="O2" s="32">
        <v>30</v>
      </c>
      <c r="P2" s="32">
        <v>30</v>
      </c>
      <c r="Q2" s="26">
        <f>IF(($B$17-$B$21)&gt;=M2,($B$17-$B$21-M2)/$B$18,0)</f>
        <v>10.5</v>
      </c>
      <c r="R2" s="26">
        <f>IF(($B$17-$B$21)&gt;=M2,($B$17-$B$21-M2)/$B$19,0)</f>
        <v>21</v>
      </c>
      <c r="S2" s="26">
        <f aca="true" t="shared" si="5" ref="S2:S22">IF(((2*$B$17-2*$B$21)&gt;=M2),((2*$B$17-2*$B$21-M2)/$B$18/2),0)</f>
        <v>10.5</v>
      </c>
      <c r="T2" s="3">
        <f aca="true" t="shared" si="6" ref="T2:T22">$C$31*(SIN(V2-$C$30))</f>
        <v>10.141025780241167</v>
      </c>
      <c r="U2" s="26">
        <f>(('Prot curve calculation'!$B$13-M2)/('Prot curve calculation'!$B$13-'Background tables'!$B$21))</f>
        <v>1.0476190476190477</v>
      </c>
      <c r="V2" s="26">
        <f>(ASIN(U2-(TRUNC(U2))))+(TRUNC(U2))</f>
        <v>1.0476370626244031</v>
      </c>
    </row>
    <row r="3" spans="1:22" ht="12.75">
      <c r="A3" s="17" t="s">
        <v>9</v>
      </c>
      <c r="B3" s="20">
        <f>'Prot curve calculation'!K4</f>
        <v>17.643421052631563</v>
      </c>
      <c r="C3" s="24">
        <v>5</v>
      </c>
      <c r="D3" s="25">
        <f t="shared" si="0"/>
        <v>49.88987854251009</v>
      </c>
      <c r="E3" s="25">
        <f aca="true" t="shared" si="7" ref="E3:E22">(($B$15*$B$5*C3)+($B$5*$B$14*$B$7)+($B$14*$B$15*$B$2))</f>
        <v>1336.1117518048477</v>
      </c>
      <c r="F3" s="25">
        <f aca="true" t="shared" si="8" ref="F3:F22">(($B$5*$B$6*$B$15*C3)+($B$5*$B$6*$B$14*$B$7)+($B$6*$B$14*$B$15*$B$2)+($B$5*$B$14*$B$15*$B$3))</f>
        <v>4579.634978608242</v>
      </c>
      <c r="G3" s="26">
        <f>(IF(C3&lt;='Prot curve calculation'!$B$3,D3/$C$25,IF(C3&gt;='Prot curve calculation'!$B$4,F3/$C$27,E3/$C$26)))</f>
        <v>2.7768313458262335</v>
      </c>
      <c r="H3" s="26">
        <f aca="true" t="shared" si="9" ref="H3:H22">(G3-$B$7)/$B$15</f>
        <v>0.24211757388929453</v>
      </c>
      <c r="I3" s="25">
        <f t="shared" si="1"/>
        <v>0.5846282550498905</v>
      </c>
      <c r="J3" s="25">
        <f t="shared" si="2"/>
        <v>48.71902125415754</v>
      </c>
      <c r="K3" s="26">
        <f aca="true" t="shared" si="10" ref="K3:K22">J3-H3</f>
        <v>48.476903680268244</v>
      </c>
      <c r="L3" s="27">
        <f t="shared" si="3"/>
        <v>5.515848057110409</v>
      </c>
      <c r="M3" s="24">
        <v>5</v>
      </c>
      <c r="N3" s="25">
        <f t="shared" si="4"/>
        <v>25.07203662322913</v>
      </c>
      <c r="O3" s="32">
        <v>30</v>
      </c>
      <c r="P3" s="32">
        <v>30</v>
      </c>
      <c r="Q3" s="26">
        <f aca="true" t="shared" si="11" ref="Q3:Q22">IF(($B$17-$B$21)&gt;=M3,($B$17-$B$21-M3)/$B$18,0)</f>
        <v>9.25</v>
      </c>
      <c r="R3" s="26">
        <f aca="true" t="shared" si="12" ref="R3:R22">IF(($B$17-$B$21)&gt;=M3,($B$17-$B$21-M3)/$B$19,0)</f>
        <v>18.5</v>
      </c>
      <c r="S3" s="26">
        <f t="shared" si="5"/>
        <v>9.875</v>
      </c>
      <c r="T3" s="3">
        <f t="shared" si="6"/>
        <v>9.649967077199912</v>
      </c>
      <c r="U3" s="26">
        <f>(('Prot curve calculation'!$B$13-M3)/('Prot curve calculation'!$B$13-'Background tables'!$B$21))</f>
        <v>0.9285714285714286</v>
      </c>
      <c r="V3" s="26">
        <f aca="true" t="shared" si="13" ref="V3:V22">(ASIN(U3-(TRUNC(U3))))+(TRUNC(U3))</f>
        <v>1.1905451201019632</v>
      </c>
    </row>
    <row r="4" spans="1:22" ht="12.75">
      <c r="A4" s="6"/>
      <c r="B4" s="3"/>
      <c r="C4" s="24">
        <v>10</v>
      </c>
      <c r="D4" s="25">
        <f t="shared" si="0"/>
        <v>93.8113360323886</v>
      </c>
      <c r="E4" s="25">
        <f t="shared" si="7"/>
        <v>1447.2377509510259</v>
      </c>
      <c r="F4" s="25">
        <f t="shared" si="8"/>
        <v>4661.062690860796</v>
      </c>
      <c r="G4" s="26">
        <f>(IF(C4&lt;='Prot curve calculation'!$B$3,D4/$C$25,IF(C4&gt;='Prot curve calculation'!$B$4,F4/$C$27,E4/$C$26)))</f>
        <v>5.2214650766609845</v>
      </c>
      <c r="H4" s="26">
        <f t="shared" si="9"/>
        <v>0.5204136358310123</v>
      </c>
      <c r="I4" s="25">
        <f t="shared" si="1"/>
        <v>0.5094883183256267</v>
      </c>
      <c r="J4" s="25">
        <f t="shared" si="2"/>
        <v>42.45735986046889</v>
      </c>
      <c r="K4" s="26">
        <f t="shared" si="10"/>
        <v>41.93694622463788</v>
      </c>
      <c r="L4" s="27">
        <f t="shared" si="3"/>
        <v>4.775443525053406</v>
      </c>
      <c r="M4" s="24">
        <v>10</v>
      </c>
      <c r="N4" s="25">
        <f t="shared" si="4"/>
        <v>21.706561477515482</v>
      </c>
      <c r="O4" s="32">
        <v>30</v>
      </c>
      <c r="P4" s="32">
        <v>30</v>
      </c>
      <c r="Q4" s="26">
        <f t="shared" si="11"/>
        <v>8</v>
      </c>
      <c r="R4" s="26">
        <f t="shared" si="12"/>
        <v>16</v>
      </c>
      <c r="S4" s="26">
        <f t="shared" si="5"/>
        <v>9.25</v>
      </c>
      <c r="T4" s="3">
        <f t="shared" si="6"/>
        <v>10.369306583626328</v>
      </c>
      <c r="U4" s="26">
        <f>(('Prot curve calculation'!$B$13-M4)/('Prot curve calculation'!$B$13-'Background tables'!$B$21))</f>
        <v>0.8095238095238095</v>
      </c>
      <c r="V4" s="26">
        <f t="shared" si="13"/>
        <v>0.9433405538717059</v>
      </c>
    </row>
    <row r="5" spans="1:22" ht="12.75">
      <c r="A5" s="17" t="s">
        <v>5</v>
      </c>
      <c r="B5" s="20">
        <f>'Prot curve calculation'!O4</f>
        <v>2.5301072755107605</v>
      </c>
      <c r="C5" s="24">
        <v>15</v>
      </c>
      <c r="D5" s="25">
        <f t="shared" si="0"/>
        <v>137.73279352226712</v>
      </c>
      <c r="E5" s="25">
        <f t="shared" si="7"/>
        <v>1558.363750097204</v>
      </c>
      <c r="F5" s="25">
        <f t="shared" si="8"/>
        <v>4742.490403113349</v>
      </c>
      <c r="G5" s="26">
        <f>(IF(C5&lt;='Prot curve calculation'!$B$3,D5/$C$25,IF(C5&gt;='Prot curve calculation'!$B$4,F5/$C$27,E5/$C$26)))</f>
        <v>7.666098807495737</v>
      </c>
      <c r="H5" s="26">
        <f>(G5-$B$7)/$B$15</f>
        <v>0.7987096977727303</v>
      </c>
      <c r="I5" s="25">
        <f t="shared" si="1"/>
        <v>0.4343483816013628</v>
      </c>
      <c r="J5" s="25">
        <f t="shared" si="2"/>
        <v>36.195698466780236</v>
      </c>
      <c r="K5" s="26">
        <f t="shared" si="10"/>
        <v>35.39698876900751</v>
      </c>
      <c r="L5" s="27">
        <f t="shared" si="3"/>
        <v>4.0350389929964035</v>
      </c>
      <c r="M5" s="24">
        <v>15</v>
      </c>
      <c r="N5" s="25">
        <f t="shared" si="4"/>
        <v>18.341086331801833</v>
      </c>
      <c r="O5" s="32">
        <f>(O4-O6)/2+O6</f>
        <v>22.5</v>
      </c>
      <c r="P5" s="32">
        <f>(P4-P6)/2+P6</f>
        <v>30</v>
      </c>
      <c r="Q5" s="26">
        <f t="shared" si="11"/>
        <v>6.75</v>
      </c>
      <c r="R5" s="26">
        <f t="shared" si="12"/>
        <v>13.5</v>
      </c>
      <c r="S5" s="26">
        <f t="shared" si="5"/>
        <v>8.625</v>
      </c>
      <c r="T5" s="3">
        <f t="shared" si="6"/>
        <v>10.497161928337679</v>
      </c>
      <c r="U5" s="26">
        <f>(('Prot curve calculation'!$B$13-M5)/('Prot curve calculation'!$B$13-'Background tables'!$B$21))</f>
        <v>0.6904761904761905</v>
      </c>
      <c r="V5" s="26">
        <f t="shared" si="13"/>
        <v>0.7621471541079895</v>
      </c>
    </row>
    <row r="6" spans="1:22" ht="12.75">
      <c r="A6" s="17" t="s">
        <v>10</v>
      </c>
      <c r="B6" s="20">
        <f>'Prot curve calculation'!Q5</f>
        <v>0.7327512272392854</v>
      </c>
      <c r="C6" s="24">
        <v>20</v>
      </c>
      <c r="D6" s="25">
        <f t="shared" si="0"/>
        <v>181.6542510121456</v>
      </c>
      <c r="E6" s="25">
        <f t="shared" si="7"/>
        <v>1669.4897492433822</v>
      </c>
      <c r="F6" s="25">
        <f t="shared" si="8"/>
        <v>4823.918115365903</v>
      </c>
      <c r="G6" s="26">
        <f>(IF(C6&lt;='Prot curve calculation'!$B$3,D6/$C$25,IF(C6&gt;='Prot curve calculation'!$B$4,F6/$C$27,E6/$C$26)))</f>
        <v>10.110732538330486</v>
      </c>
      <c r="H6" s="26">
        <f t="shared" si="9"/>
        <v>1.077005759714448</v>
      </c>
      <c r="I6" s="25">
        <f t="shared" si="1"/>
        <v>0.359208444877099</v>
      </c>
      <c r="J6" s="25">
        <f t="shared" si="2"/>
        <v>29.934037073091584</v>
      </c>
      <c r="K6" s="26">
        <f t="shared" si="10"/>
        <v>28.857031313377135</v>
      </c>
      <c r="L6" s="27">
        <f t="shared" si="3"/>
        <v>3.2946344609394007</v>
      </c>
      <c r="M6" s="24">
        <v>20</v>
      </c>
      <c r="N6" s="25">
        <f t="shared" si="4"/>
        <v>14.975611186088186</v>
      </c>
      <c r="O6" s="32">
        <v>15</v>
      </c>
      <c r="P6" s="32">
        <v>30</v>
      </c>
      <c r="Q6" s="26">
        <f t="shared" si="11"/>
        <v>5.5</v>
      </c>
      <c r="R6" s="26">
        <f t="shared" si="12"/>
        <v>11</v>
      </c>
      <c r="S6" s="26">
        <f t="shared" si="5"/>
        <v>8</v>
      </c>
      <c r="T6" s="3">
        <f t="shared" si="6"/>
        <v>10.335669490596256</v>
      </c>
      <c r="U6" s="26">
        <f>(('Prot curve calculation'!$B$13-M6)/('Prot curve calculation'!$B$13-'Background tables'!$B$21))</f>
        <v>0.5714285714285714</v>
      </c>
      <c r="V6" s="26">
        <f t="shared" si="13"/>
        <v>0.6082455789102096</v>
      </c>
    </row>
    <row r="7" spans="1:22" ht="12.75">
      <c r="A7" s="17" t="s">
        <v>13</v>
      </c>
      <c r="B7" s="20">
        <f>'Prot curve calculation'!B11</f>
        <v>0.65</v>
      </c>
      <c r="C7" s="24">
        <v>25</v>
      </c>
      <c r="D7" s="25">
        <f t="shared" si="0"/>
        <v>225.5757085020241</v>
      </c>
      <c r="E7" s="25">
        <f t="shared" si="7"/>
        <v>1780.6157483895604</v>
      </c>
      <c r="F7" s="25">
        <f t="shared" si="8"/>
        <v>4905.345827618457</v>
      </c>
      <c r="G7" s="26">
        <f>(IF(C7&lt;='Prot curve calculation'!$B$3,D7/$C$25,IF(C7&gt;='Prot curve calculation'!$B$4,F7/$C$27,E7/$C$26)))</f>
        <v>12.555366269165237</v>
      </c>
      <c r="H7" s="26">
        <f t="shared" si="9"/>
        <v>1.3553018216561656</v>
      </c>
      <c r="I7" s="25">
        <f t="shared" si="1"/>
        <v>0.2840685081528353</v>
      </c>
      <c r="J7" s="25">
        <f t="shared" si="2"/>
        <v>23.67237567940294</v>
      </c>
      <c r="K7" s="26">
        <f t="shared" si="10"/>
        <v>22.317073857746774</v>
      </c>
      <c r="L7" s="27">
        <f t="shared" si="3"/>
        <v>2.5542299288823997</v>
      </c>
      <c r="M7" s="24">
        <v>25</v>
      </c>
      <c r="N7" s="25">
        <f t="shared" si="4"/>
        <v>11.610136040374543</v>
      </c>
      <c r="O7" s="32">
        <f>(O6-O8)/2+O8</f>
        <v>12.5</v>
      </c>
      <c r="P7" s="32">
        <f>(P6-P8)/2+P8</f>
        <v>25</v>
      </c>
      <c r="Q7" s="26">
        <f t="shared" si="11"/>
        <v>4.25</v>
      </c>
      <c r="R7" s="26">
        <f t="shared" si="12"/>
        <v>8.5</v>
      </c>
      <c r="S7" s="26">
        <f t="shared" si="5"/>
        <v>7.375</v>
      </c>
      <c r="T7" s="3">
        <f t="shared" si="6"/>
        <v>9.980218529710616</v>
      </c>
      <c r="U7" s="26">
        <f>(('Prot curve calculation'!$B$13-M7)/('Prot curve calculation'!$B$13-'Background tables'!$B$21))</f>
        <v>0.4523809523809524</v>
      </c>
      <c r="V7" s="26">
        <f t="shared" si="13"/>
        <v>0.4694332904081192</v>
      </c>
    </row>
    <row r="8" spans="1:22" ht="12.75">
      <c r="A8" s="6"/>
      <c r="B8" s="3"/>
      <c r="C8" s="24">
        <v>30</v>
      </c>
      <c r="D8" s="25">
        <f t="shared" si="0"/>
        <v>269.49716599190265</v>
      </c>
      <c r="E8" s="25">
        <f t="shared" si="7"/>
        <v>1891.7417475357386</v>
      </c>
      <c r="F8" s="25">
        <f t="shared" si="8"/>
        <v>4986.773539871011</v>
      </c>
      <c r="G8" s="26">
        <f>(IF(C8&lt;='Prot curve calculation'!$B$3,D8/$C$25,IF(C8&gt;='Prot curve calculation'!$B$4,F8/$C$27,E8/$C$26)))</f>
        <v>14.999999999999991</v>
      </c>
      <c r="H8" s="26">
        <f t="shared" si="9"/>
        <v>1.633597883597884</v>
      </c>
      <c r="I8" s="25">
        <f t="shared" si="1"/>
        <v>0.20892857142857135</v>
      </c>
      <c r="J8" s="25">
        <f t="shared" si="2"/>
        <v>17.410714285714278</v>
      </c>
      <c r="K8" s="26">
        <f t="shared" si="10"/>
        <v>15.777116402116393</v>
      </c>
      <c r="L8" s="27">
        <f t="shared" si="3"/>
        <v>1.813825396825396</v>
      </c>
      <c r="M8" s="24">
        <v>30</v>
      </c>
      <c r="N8" s="25">
        <f t="shared" si="4"/>
        <v>8.24466089466089</v>
      </c>
      <c r="O8" s="32">
        <v>10</v>
      </c>
      <c r="P8" s="32">
        <v>20</v>
      </c>
      <c r="Q8" s="26">
        <f t="shared" si="11"/>
        <v>3</v>
      </c>
      <c r="R8" s="26">
        <f t="shared" si="12"/>
        <v>6</v>
      </c>
      <c r="S8" s="26">
        <f t="shared" si="5"/>
        <v>6.75</v>
      </c>
      <c r="T8" s="3">
        <f t="shared" si="6"/>
        <v>9.474873734152915</v>
      </c>
      <c r="U8" s="26">
        <f>(('Prot curve calculation'!$B$13-M8)/('Prot curve calculation'!$B$13-'Background tables'!$B$21))</f>
        <v>0.3333333333333333</v>
      </c>
      <c r="V8" s="26">
        <f t="shared" si="13"/>
        <v>0.3398369094541219</v>
      </c>
    </row>
    <row r="9" spans="1:22" ht="12.75">
      <c r="A9" s="1"/>
      <c r="C9" s="24">
        <v>35</v>
      </c>
      <c r="D9" s="25">
        <f t="shared" si="0"/>
        <v>313.41862348178114</v>
      </c>
      <c r="E9" s="25">
        <f t="shared" si="7"/>
        <v>2002.8677466819167</v>
      </c>
      <c r="F9" s="25">
        <f t="shared" si="8"/>
        <v>5068.201252123565</v>
      </c>
      <c r="G9" s="26">
        <f>(IF(C9&lt;='Prot curve calculation'!$B$3,D9/$C$25,IF(C9&gt;='Prot curve calculation'!$B$4,F9/$C$27,E9/$C$26)))</f>
        <v>15.881140350877182</v>
      </c>
      <c r="H9" s="26">
        <f t="shared" si="9"/>
        <v>1.7339065255731925</v>
      </c>
      <c r="I9" s="25">
        <f t="shared" si="1"/>
        <v>0.181845238095238</v>
      </c>
      <c r="J9" s="25">
        <f t="shared" si="2"/>
        <v>15.153769841269833</v>
      </c>
      <c r="K9" s="26">
        <f t="shared" si="10"/>
        <v>13.41986331569664</v>
      </c>
      <c r="L9" s="27">
        <f t="shared" si="3"/>
        <v>1.5469550264550256</v>
      </c>
      <c r="M9" s="24">
        <v>35</v>
      </c>
      <c r="N9" s="25">
        <f t="shared" si="4"/>
        <v>7.031613756613752</v>
      </c>
      <c r="O9" s="32">
        <v>8.4</v>
      </c>
      <c r="P9" s="32">
        <f>(P8-P10)/2+P10</f>
        <v>16</v>
      </c>
      <c r="Q9" s="26">
        <f t="shared" si="11"/>
        <v>1.75</v>
      </c>
      <c r="R9" s="26">
        <f t="shared" si="12"/>
        <v>3.5</v>
      </c>
      <c r="S9" s="26">
        <f t="shared" si="5"/>
        <v>6.125</v>
      </c>
      <c r="T9" s="3">
        <f t="shared" si="6"/>
        <v>8.843145109849875</v>
      </c>
      <c r="U9" s="26">
        <f>(('Prot curve calculation'!$B$13-M9)/('Prot curve calculation'!$B$13-'Background tables'!$B$21))</f>
        <v>0.21428571428571427</v>
      </c>
      <c r="V9" s="26">
        <f t="shared" si="13"/>
        <v>0.21596049868495623</v>
      </c>
    </row>
    <row r="10" spans="1:22" ht="12.75">
      <c r="A10" s="14" t="s">
        <v>1</v>
      </c>
      <c r="B10" s="21">
        <f>'Prot curve calculation'!B10</f>
        <v>0.27</v>
      </c>
      <c r="C10" s="24">
        <v>40</v>
      </c>
      <c r="D10" s="25">
        <f t="shared" si="0"/>
        <v>357.34008097165963</v>
      </c>
      <c r="E10" s="25">
        <f t="shared" si="7"/>
        <v>2113.9937458280947</v>
      </c>
      <c r="F10" s="25">
        <f t="shared" si="8"/>
        <v>5149.628964376119</v>
      </c>
      <c r="G10" s="26">
        <f>(IF(C10&lt;='Prot curve calculation'!$B$3,D10/$C$25,IF(C10&gt;='Prot curve calculation'!$B$4,F10/$C$27,E10/$C$26)))</f>
        <v>16.76228070175437</v>
      </c>
      <c r="H10" s="26">
        <f t="shared" si="9"/>
        <v>1.8342151675485008</v>
      </c>
      <c r="I10" s="25">
        <f t="shared" si="1"/>
        <v>0.15476190476190477</v>
      </c>
      <c r="J10" s="25">
        <f t="shared" si="2"/>
        <v>12.896825396825397</v>
      </c>
      <c r="K10" s="26">
        <f t="shared" si="10"/>
        <v>11.062610229276896</v>
      </c>
      <c r="L10" s="27">
        <f t="shared" si="3"/>
        <v>1.280084656084656</v>
      </c>
      <c r="M10" s="24">
        <v>40</v>
      </c>
      <c r="N10" s="25">
        <f t="shared" si="4"/>
        <v>5.818566618566618</v>
      </c>
      <c r="O10" s="32">
        <v>7</v>
      </c>
      <c r="P10" s="32">
        <v>12</v>
      </c>
      <c r="Q10" s="26">
        <f t="shared" si="11"/>
        <v>0.5</v>
      </c>
      <c r="R10" s="26">
        <f t="shared" si="12"/>
        <v>1</v>
      </c>
      <c r="S10" s="26">
        <f t="shared" si="5"/>
        <v>5.5</v>
      </c>
      <c r="T10" s="3">
        <f t="shared" si="6"/>
        <v>8.097979530733788</v>
      </c>
      <c r="U10" s="26">
        <f>(('Prot curve calculation'!$B$13-M10)/('Prot curve calculation'!$B$13-'Background tables'!$B$21))</f>
        <v>0.09523809523809523</v>
      </c>
      <c r="V10" s="26">
        <f t="shared" si="13"/>
        <v>0.09538265900820939</v>
      </c>
    </row>
    <row r="11" spans="1:22" ht="12.75">
      <c r="A11" s="15" t="s">
        <v>2</v>
      </c>
      <c r="B11" s="21">
        <f>'Prot curve calculation'!B8</f>
        <v>0.012</v>
      </c>
      <c r="C11" s="24">
        <v>45</v>
      </c>
      <c r="D11" s="25">
        <f t="shared" si="0"/>
        <v>401.2615384615381</v>
      </c>
      <c r="E11" s="25">
        <f t="shared" si="7"/>
        <v>2225.119744974273</v>
      </c>
      <c r="F11" s="25">
        <f t="shared" si="8"/>
        <v>5231.056676628672</v>
      </c>
      <c r="G11" s="26">
        <f>(IF(C11&lt;='Prot curve calculation'!$B$3,D11/$C$25,IF(C11&gt;='Prot curve calculation'!$B$4,F11/$C$27,E11/$C$26)))</f>
        <v>17.64342105263156</v>
      </c>
      <c r="H11" s="26">
        <f t="shared" si="9"/>
        <v>1.934523809523809</v>
      </c>
      <c r="I11" s="25">
        <f t="shared" si="1"/>
        <v>0.12767857142857153</v>
      </c>
      <c r="J11" s="25">
        <f t="shared" si="2"/>
        <v>10.639880952380961</v>
      </c>
      <c r="K11" s="26">
        <f t="shared" si="10"/>
        <v>8.705357142857153</v>
      </c>
      <c r="L11" s="27">
        <f t="shared" si="3"/>
        <v>1.013214285714287</v>
      </c>
      <c r="M11" s="24">
        <v>45</v>
      </c>
      <c r="N11" s="25">
        <f t="shared" si="4"/>
        <v>4.605519480519487</v>
      </c>
      <c r="O11" s="32">
        <f>(O10-O12)/2+O12</f>
        <v>5.5</v>
      </c>
      <c r="P11" s="32">
        <v>10</v>
      </c>
      <c r="Q11" s="26">
        <f t="shared" si="11"/>
        <v>0</v>
      </c>
      <c r="R11" s="26">
        <f t="shared" si="12"/>
        <v>0</v>
      </c>
      <c r="S11" s="26">
        <f t="shared" si="5"/>
        <v>4.875</v>
      </c>
      <c r="T11" s="3">
        <f t="shared" si="6"/>
        <v>7.245739724355124</v>
      </c>
      <c r="U11" s="26">
        <f>(('Prot curve calculation'!$B$13-M11)/('Prot curve calculation'!$B$13-'Background tables'!$B$21))</f>
        <v>-0.023809523809523808</v>
      </c>
      <c r="V11" s="26">
        <f t="shared" si="13"/>
        <v>-0.02381177396066874</v>
      </c>
    </row>
    <row r="12" spans="1:22" ht="12.75">
      <c r="A12" s="15" t="s">
        <v>4</v>
      </c>
      <c r="B12" s="21">
        <f>'Prot curve calculation'!B9</f>
        <v>0.10172307692307693</v>
      </c>
      <c r="C12" s="24">
        <v>50</v>
      </c>
      <c r="D12" s="25">
        <f t="shared" si="0"/>
        <v>445.1829959514166</v>
      </c>
      <c r="E12" s="25">
        <f t="shared" si="7"/>
        <v>2336.2457441204515</v>
      </c>
      <c r="F12" s="25">
        <f t="shared" si="8"/>
        <v>5312.484388881227</v>
      </c>
      <c r="G12" s="26">
        <f>(IF(C12&lt;='Prot curve calculation'!$B$3,D12/$C$25,IF(C12&gt;='Prot curve calculation'!$B$4,F12/$C$27,E12/$C$26)))</f>
        <v>17.91806220095692</v>
      </c>
      <c r="H12" s="26">
        <f t="shared" si="9"/>
        <v>1.9657888407888406</v>
      </c>
      <c r="I12" s="25">
        <f t="shared" si="1"/>
        <v>0.11923701298701306</v>
      </c>
      <c r="J12" s="25">
        <f t="shared" si="2"/>
        <v>9.936417748917755</v>
      </c>
      <c r="K12" s="26">
        <f t="shared" si="10"/>
        <v>7.970628908128914</v>
      </c>
      <c r="L12" s="27">
        <f t="shared" si="3"/>
        <v>0.9300339105339113</v>
      </c>
      <c r="M12" s="24">
        <v>50</v>
      </c>
      <c r="N12" s="25">
        <f t="shared" si="4"/>
        <v>4.227426866063233</v>
      </c>
      <c r="O12" s="32">
        <v>4</v>
      </c>
      <c r="P12" s="32">
        <v>8</v>
      </c>
      <c r="Q12" s="26">
        <f t="shared" si="11"/>
        <v>0</v>
      </c>
      <c r="R12" s="26">
        <f t="shared" si="12"/>
        <v>0</v>
      </c>
      <c r="S12" s="26">
        <f t="shared" si="5"/>
        <v>4.25</v>
      </c>
      <c r="T12" s="3">
        <f t="shared" si="6"/>
        <v>6.287809056569712</v>
      </c>
      <c r="U12" s="26">
        <f>(('Prot curve calculation'!$B$13-M12)/('Prot curve calculation'!$B$13-'Background tables'!$B$21))</f>
        <v>-0.14285714285714285</v>
      </c>
      <c r="V12" s="26">
        <f t="shared" si="13"/>
        <v>-0.14334756890536535</v>
      </c>
    </row>
    <row r="13" spans="1:22" ht="12.75">
      <c r="A13" s="15" t="s">
        <v>6</v>
      </c>
      <c r="B13" s="21">
        <f>'Prot curve calculation'!B7</f>
        <v>0.22</v>
      </c>
      <c r="C13" s="24">
        <v>55</v>
      </c>
      <c r="D13" s="25">
        <f t="shared" si="0"/>
        <v>489.10445344129516</v>
      </c>
      <c r="E13" s="25">
        <f t="shared" si="7"/>
        <v>2447.37174326663</v>
      </c>
      <c r="F13" s="25">
        <f t="shared" si="8"/>
        <v>5393.91210113378</v>
      </c>
      <c r="G13" s="26">
        <f>(IF(C13&lt;='Prot curve calculation'!$B$3,D13/$C$25,IF(C13&gt;='Prot curve calculation'!$B$4,F13/$C$27,E13/$C$26)))</f>
        <v>18.19270334928228</v>
      </c>
      <c r="H13" s="26">
        <f t="shared" si="9"/>
        <v>1.997053872053872</v>
      </c>
      <c r="I13" s="25">
        <f t="shared" si="1"/>
        <v>0.11079545454545459</v>
      </c>
      <c r="J13" s="25">
        <f t="shared" si="2"/>
        <v>9.232954545454549</v>
      </c>
      <c r="K13" s="26">
        <f t="shared" si="10"/>
        <v>7.2359006734006766</v>
      </c>
      <c r="L13" s="27">
        <f t="shared" si="3"/>
        <v>0.8468535353535358</v>
      </c>
      <c r="M13" s="24">
        <v>55</v>
      </c>
      <c r="N13" s="25">
        <f t="shared" si="4"/>
        <v>3.849334251606981</v>
      </c>
      <c r="O13" s="32">
        <f>(O12-O14)/2+O14</f>
        <v>3.5</v>
      </c>
      <c r="P13" s="32">
        <f>(P12-P14)/2+P14</f>
        <v>7</v>
      </c>
      <c r="Q13" s="26">
        <f t="shared" si="11"/>
        <v>0</v>
      </c>
      <c r="R13" s="26">
        <f t="shared" si="12"/>
        <v>0</v>
      </c>
      <c r="S13" s="26">
        <f t="shared" si="5"/>
        <v>3.625</v>
      </c>
      <c r="T13" s="3">
        <f t="shared" si="6"/>
        <v>5.220911675720251</v>
      </c>
      <c r="U13" s="26">
        <f>(('Prot curve calculation'!$B$13-M13)/('Prot curve calculation'!$B$13-'Background tables'!$B$21))</f>
        <v>-0.2619047619047619</v>
      </c>
      <c r="V13" s="26">
        <f t="shared" si="13"/>
        <v>-0.26499533076684006</v>
      </c>
    </row>
    <row r="14" spans="1:22" ht="12.75">
      <c r="A14" s="15" t="s">
        <v>11</v>
      </c>
      <c r="B14" s="20">
        <f>'Prot curve calculation'!G3</f>
        <v>9.18218623481782</v>
      </c>
      <c r="C14" s="24">
        <v>60</v>
      </c>
      <c r="D14" s="25">
        <f t="shared" si="0"/>
        <v>533.0259109311737</v>
      </c>
      <c r="E14" s="25">
        <f t="shared" si="7"/>
        <v>2558.497742412808</v>
      </c>
      <c r="F14" s="25">
        <f t="shared" si="8"/>
        <v>5475.339813386334</v>
      </c>
      <c r="G14" s="26">
        <f>(IF(C14&lt;='Prot curve calculation'!$B$3,D14/$C$25,IF(C14&gt;='Prot curve calculation'!$B$4,F14/$C$27,E14/$C$26)))</f>
        <v>18.467344497607638</v>
      </c>
      <c r="H14" s="26">
        <f t="shared" si="9"/>
        <v>2.0283189033189033</v>
      </c>
      <c r="I14" s="25">
        <f t="shared" si="1"/>
        <v>0.10235389610389611</v>
      </c>
      <c r="J14" s="25">
        <f t="shared" si="2"/>
        <v>8.529491341991342</v>
      </c>
      <c r="K14" s="26">
        <f t="shared" si="10"/>
        <v>6.501172438672439</v>
      </c>
      <c r="L14" s="27">
        <f t="shared" si="3"/>
        <v>0.7636731601731603</v>
      </c>
      <c r="M14" s="24">
        <v>60</v>
      </c>
      <c r="N14" s="25">
        <f t="shared" si="4"/>
        <v>3.4712416371507286</v>
      </c>
      <c r="O14" s="32">
        <v>3</v>
      </c>
      <c r="P14" s="32">
        <v>6</v>
      </c>
      <c r="Q14" s="26">
        <f t="shared" si="11"/>
        <v>0</v>
      </c>
      <c r="R14" s="26">
        <f t="shared" si="12"/>
        <v>0</v>
      </c>
      <c r="S14" s="26">
        <f t="shared" si="5"/>
        <v>3</v>
      </c>
      <c r="T14" s="3">
        <f t="shared" si="6"/>
        <v>4.036337984126801</v>
      </c>
      <c r="U14" s="26">
        <f>(('Prot curve calculation'!$B$13-M14)/('Prot curve calculation'!$B$13-'Background tables'!$B$21))</f>
        <v>-0.38095238095238093</v>
      </c>
      <c r="V14" s="26">
        <f t="shared" si="13"/>
        <v>-0.3908261305754416</v>
      </c>
    </row>
    <row r="15" spans="1:22" ht="12.75">
      <c r="A15" s="15" t="s">
        <v>12</v>
      </c>
      <c r="B15" s="20">
        <f>'Prot curve calculation'!H3</f>
        <v>8.784291497975701</v>
      </c>
      <c r="C15" s="24">
        <v>65</v>
      </c>
      <c r="D15" s="25">
        <f t="shared" si="0"/>
        <v>576.9473684210521</v>
      </c>
      <c r="E15" s="25">
        <f t="shared" si="7"/>
        <v>2669.623741558986</v>
      </c>
      <c r="F15" s="25">
        <f t="shared" si="8"/>
        <v>5556.767525638888</v>
      </c>
      <c r="G15" s="26">
        <f>(IF(C15&lt;='Prot curve calculation'!$B$3,D15/$C$25,IF(C15&gt;='Prot curve calculation'!$B$4,F15/$C$27,E15/$C$26)))</f>
        <v>18.741985645933</v>
      </c>
      <c r="H15" s="26">
        <f t="shared" si="9"/>
        <v>2.0595839345839346</v>
      </c>
      <c r="I15" s="25">
        <f t="shared" si="1"/>
        <v>0.09391233766233764</v>
      </c>
      <c r="J15" s="25">
        <f t="shared" si="2"/>
        <v>7.8260281385281365</v>
      </c>
      <c r="K15" s="26">
        <f t="shared" si="10"/>
        <v>5.766444203944202</v>
      </c>
      <c r="L15" s="27">
        <f t="shared" si="3"/>
        <v>0.6804927849927848</v>
      </c>
      <c r="M15" s="24">
        <v>65</v>
      </c>
      <c r="N15" s="25">
        <f t="shared" si="4"/>
        <v>3.093149022694476</v>
      </c>
      <c r="O15" s="32">
        <f>(O14-O16)/2+O16</f>
        <v>2.5</v>
      </c>
      <c r="P15" s="32">
        <f>(P14-P16)/2+P16</f>
        <v>5.2</v>
      </c>
      <c r="Q15" s="26">
        <f t="shared" si="11"/>
        <v>0</v>
      </c>
      <c r="R15" s="26">
        <f t="shared" si="12"/>
        <v>0</v>
      </c>
      <c r="S15" s="26">
        <f t="shared" si="5"/>
        <v>2.375</v>
      </c>
      <c r="T15" s="3">
        <f t="shared" si="6"/>
        <v>2.7175999735764673</v>
      </c>
      <c r="U15" s="26">
        <f>(('Prot curve calculation'!$B$13-M15)/('Prot curve calculation'!$B$13-'Background tables'!$B$21))</f>
        <v>-0.5</v>
      </c>
      <c r="V15" s="26">
        <f t="shared" si="13"/>
        <v>-0.5235987755982989</v>
      </c>
    </row>
    <row r="16" spans="1:22" ht="12.75">
      <c r="A16" s="5"/>
      <c r="B16" s="3"/>
      <c r="C16" s="24">
        <v>70</v>
      </c>
      <c r="D16" s="25">
        <f t="shared" si="0"/>
        <v>620.8688259109307</v>
      </c>
      <c r="E16" s="25">
        <f t="shared" si="7"/>
        <v>2780.749740705164</v>
      </c>
      <c r="F16" s="25">
        <f t="shared" si="8"/>
        <v>5638.195237891441</v>
      </c>
      <c r="G16" s="26">
        <f>(IF(C16&lt;='Prot curve calculation'!$B$3,D16/$C$25,IF(C16&gt;='Prot curve calculation'!$B$4,F16/$C$27,E16/$C$26)))</f>
        <v>19.016626794258354</v>
      </c>
      <c r="H16" s="26">
        <f t="shared" si="9"/>
        <v>2.0908489658489655</v>
      </c>
      <c r="I16" s="25">
        <f t="shared" si="1"/>
        <v>0.08547077922077928</v>
      </c>
      <c r="J16" s="25">
        <f t="shared" si="2"/>
        <v>7.12256493506494</v>
      </c>
      <c r="K16" s="26">
        <f t="shared" si="10"/>
        <v>5.031715969215974</v>
      </c>
      <c r="L16" s="27">
        <f t="shared" si="3"/>
        <v>0.5973124098124104</v>
      </c>
      <c r="M16" s="24">
        <v>70</v>
      </c>
      <c r="N16" s="25">
        <f t="shared" si="4"/>
        <v>2.715056408238229</v>
      </c>
      <c r="O16" s="32">
        <v>2</v>
      </c>
      <c r="P16" s="32">
        <v>4.4</v>
      </c>
      <c r="Q16" s="26">
        <f t="shared" si="11"/>
        <v>0</v>
      </c>
      <c r="R16" s="26">
        <f t="shared" si="12"/>
        <v>0</v>
      </c>
      <c r="S16" s="26">
        <f t="shared" si="5"/>
        <v>1.75</v>
      </c>
      <c r="T16" s="3">
        <f t="shared" si="6"/>
        <v>1.2347578171327414</v>
      </c>
      <c r="U16" s="26">
        <f>(('Prot curve calculation'!$B$13-M16)/('Prot curve calculation'!$B$13-'Background tables'!$B$21))</f>
        <v>-0.6190476190476191</v>
      </c>
      <c r="V16" s="26">
        <f t="shared" si="13"/>
        <v>-0.667529444635833</v>
      </c>
    </row>
    <row r="17" spans="1:22" ht="12.75">
      <c r="A17" s="16" t="s">
        <v>23</v>
      </c>
      <c r="B17" s="22">
        <f>'Prot curve calculation'!B13</f>
        <v>44</v>
      </c>
      <c r="C17" s="24">
        <v>75</v>
      </c>
      <c r="D17" s="25">
        <f t="shared" si="0"/>
        <v>664.7902834008091</v>
      </c>
      <c r="E17" s="25">
        <f t="shared" si="7"/>
        <v>2891.8757398513426</v>
      </c>
      <c r="F17" s="25">
        <f t="shared" si="8"/>
        <v>5719.622950143996</v>
      </c>
      <c r="G17" s="26">
        <f>(IF(C17&lt;='Prot curve calculation'!$B$3,D17/$C$25,IF(C17&gt;='Prot curve calculation'!$B$4,F17/$C$27,E17/$C$26)))</f>
        <v>19.291267942583715</v>
      </c>
      <c r="H17" s="26">
        <f t="shared" si="9"/>
        <v>2.1221139971139973</v>
      </c>
      <c r="I17" s="25">
        <f t="shared" si="1"/>
        <v>0.0770292207792207</v>
      </c>
      <c r="J17" s="25">
        <f t="shared" si="2"/>
        <v>6.4191017316017245</v>
      </c>
      <c r="K17" s="26">
        <f t="shared" si="10"/>
        <v>4.296987734487727</v>
      </c>
      <c r="L17" s="27">
        <f t="shared" si="3"/>
        <v>0.5141320346320338</v>
      </c>
      <c r="M17" s="24">
        <v>75</v>
      </c>
      <c r="N17" s="25">
        <f t="shared" si="4"/>
        <v>2.336963793781972</v>
      </c>
      <c r="O17" s="32">
        <f>(O16-O18)/2+O18</f>
        <v>1.75</v>
      </c>
      <c r="P17" s="32">
        <f>(P16-P18)/2+P18</f>
        <v>3.95</v>
      </c>
      <c r="Q17" s="26">
        <f t="shared" si="11"/>
        <v>0</v>
      </c>
      <c r="R17" s="26">
        <f t="shared" si="12"/>
        <v>0</v>
      </c>
      <c r="S17" s="26">
        <f t="shared" si="5"/>
        <v>1.125</v>
      </c>
      <c r="T17" s="3">
        <f t="shared" si="6"/>
        <v>-0.4707113268172762</v>
      </c>
      <c r="U17" s="26">
        <f>(('Prot curve calculation'!$B$13-M17)/('Prot curve calculation'!$B$13-'Background tables'!$B$21))</f>
        <v>-0.7380952380952381</v>
      </c>
      <c r="V17" s="26">
        <f t="shared" si="13"/>
        <v>-0.8302428428393267</v>
      </c>
    </row>
    <row r="18" spans="1:22" ht="12.75">
      <c r="A18" s="16" t="s">
        <v>25</v>
      </c>
      <c r="B18" s="23">
        <f>'Prot curve calculation'!B14</f>
        <v>4</v>
      </c>
      <c r="C18" s="24">
        <v>80</v>
      </c>
      <c r="D18" s="25">
        <f t="shared" si="0"/>
        <v>708.7117408906877</v>
      </c>
      <c r="E18" s="25">
        <f t="shared" si="7"/>
        <v>3003.0017389975205</v>
      </c>
      <c r="F18" s="25">
        <f t="shared" si="8"/>
        <v>5801.050662396549</v>
      </c>
      <c r="G18" s="26">
        <f>(IF(C18&lt;='Prot curve calculation'!$B$3,D18/$C$25,IF(C18&gt;='Prot curve calculation'!$B$4,F18/$C$27,E18/$C$26)))</f>
        <v>19.565909090909074</v>
      </c>
      <c r="H18" s="26">
        <f t="shared" si="9"/>
        <v>2.153379028379028</v>
      </c>
      <c r="I18" s="25">
        <f t="shared" si="1"/>
        <v>0.06858766233766234</v>
      </c>
      <c r="J18" s="25">
        <f t="shared" si="2"/>
        <v>5.715638528138528</v>
      </c>
      <c r="K18" s="26">
        <f t="shared" si="10"/>
        <v>3.5622594997594996</v>
      </c>
      <c r="L18" s="27">
        <f t="shared" si="3"/>
        <v>0.4309516594516595</v>
      </c>
      <c r="M18" s="24">
        <v>80</v>
      </c>
      <c r="N18" s="25">
        <f t="shared" si="4"/>
        <v>1.958871179325725</v>
      </c>
      <c r="O18" s="32">
        <v>1.5</v>
      </c>
      <c r="P18" s="32">
        <v>3.5</v>
      </c>
      <c r="Q18" s="26">
        <f t="shared" si="11"/>
        <v>0</v>
      </c>
      <c r="R18" s="26">
        <f t="shared" si="12"/>
        <v>0</v>
      </c>
      <c r="S18" s="26">
        <f t="shared" si="5"/>
        <v>0.5</v>
      </c>
      <c r="T18" s="3">
        <f t="shared" si="6"/>
        <v>-2.5396963954843406</v>
      </c>
      <c r="U18" s="26">
        <f>(('Prot curve calculation'!$B$13-M18)/('Prot curve calculation'!$B$13-'Background tables'!$B$21))</f>
        <v>-0.8571428571428571</v>
      </c>
      <c r="V18" s="26">
        <f t="shared" si="13"/>
        <v>-1.029696800837751</v>
      </c>
    </row>
    <row r="19" spans="1:22" ht="12.75">
      <c r="A19" s="16" t="s">
        <v>26</v>
      </c>
      <c r="B19" s="23">
        <f>'Prot curve calculation'!B15</f>
        <v>2</v>
      </c>
      <c r="C19" s="24">
        <v>85</v>
      </c>
      <c r="D19" s="25">
        <f t="shared" si="0"/>
        <v>752.6331983805662</v>
      </c>
      <c r="E19" s="25">
        <f t="shared" si="7"/>
        <v>3114.1277381436985</v>
      </c>
      <c r="F19" s="25">
        <f t="shared" si="8"/>
        <v>5882.478374649103</v>
      </c>
      <c r="G19" s="26">
        <f>(IF(C19&lt;='Prot curve calculation'!$B$3,D19/$C$25,IF(C19&gt;='Prot curve calculation'!$B$4,F19/$C$27,E19/$C$26)))</f>
        <v>19.84055023923443</v>
      </c>
      <c r="H19" s="26">
        <f t="shared" si="9"/>
        <v>2.1846440596440595</v>
      </c>
      <c r="I19" s="25">
        <f t="shared" si="1"/>
        <v>0.060146103896103864</v>
      </c>
      <c r="J19" s="25">
        <f t="shared" si="2"/>
        <v>5.012175324675322</v>
      </c>
      <c r="K19" s="26">
        <f t="shared" si="10"/>
        <v>2.8275312650312627</v>
      </c>
      <c r="L19" s="27">
        <f t="shared" si="3"/>
        <v>0.347771284271284</v>
      </c>
      <c r="M19" s="24">
        <v>85</v>
      </c>
      <c r="N19" s="25">
        <f t="shared" si="4"/>
        <v>1.5807785648694728</v>
      </c>
      <c r="O19" s="32">
        <f>(O18-O20)/2+O20</f>
        <v>1.3</v>
      </c>
      <c r="P19" s="32">
        <f>(P18-P20)/2+P20</f>
        <v>3</v>
      </c>
      <c r="Q19" s="26">
        <f t="shared" si="11"/>
        <v>0</v>
      </c>
      <c r="R19" s="26">
        <f t="shared" si="12"/>
        <v>0</v>
      </c>
      <c r="S19" s="26">
        <f t="shared" si="5"/>
        <v>0</v>
      </c>
      <c r="T19" s="3">
        <f t="shared" si="6"/>
        <v>-5.6373321663214755</v>
      </c>
      <c r="U19" s="26">
        <f>(('Prot curve calculation'!$B$13-M19)/('Prot curve calculation'!$B$13-'Background tables'!$B$21))</f>
        <v>-0.9761904761904762</v>
      </c>
      <c r="V19" s="26">
        <f t="shared" si="13"/>
        <v>-1.3521431284909287</v>
      </c>
    </row>
    <row r="20" spans="1:22" ht="12.75">
      <c r="A20" s="1"/>
      <c r="C20" s="24">
        <v>90</v>
      </c>
      <c r="D20" s="25">
        <f t="shared" si="0"/>
        <v>796.5546558704447</v>
      </c>
      <c r="E20" s="25">
        <f t="shared" si="7"/>
        <v>3225.253737289877</v>
      </c>
      <c r="F20" s="25">
        <f t="shared" si="8"/>
        <v>5963.9060869016575</v>
      </c>
      <c r="G20" s="26">
        <f>(IF(C20&lt;='Prot curve calculation'!$B$3,D20/$C$25,IF(C20&gt;='Prot curve calculation'!$B$4,F20/$C$27,E20/$C$26)))</f>
        <v>20.115191387559793</v>
      </c>
      <c r="H20" s="26">
        <f t="shared" si="9"/>
        <v>2.2159090909090913</v>
      </c>
      <c r="I20" s="25">
        <f t="shared" si="1"/>
        <v>0.05170454545454539</v>
      </c>
      <c r="J20" s="25">
        <f t="shared" si="2"/>
        <v>4.308712121212116</v>
      </c>
      <c r="K20" s="26">
        <f t="shared" si="10"/>
        <v>2.0928030303030245</v>
      </c>
      <c r="L20" s="27">
        <f t="shared" si="3"/>
        <v>0.26459090909090843</v>
      </c>
      <c r="M20" s="24">
        <v>90</v>
      </c>
      <c r="N20" s="25">
        <f t="shared" si="4"/>
        <v>1.2026859504132201</v>
      </c>
      <c r="O20" s="32">
        <v>1.1</v>
      </c>
      <c r="P20" s="32">
        <v>2.5</v>
      </c>
      <c r="Q20" s="26">
        <f t="shared" si="11"/>
        <v>0</v>
      </c>
      <c r="R20" s="26">
        <f t="shared" si="12"/>
        <v>0</v>
      </c>
      <c r="S20" s="26">
        <f t="shared" si="5"/>
        <v>0</v>
      </c>
      <c r="T20" s="3">
        <f t="shared" si="6"/>
        <v>-3.202960646092467</v>
      </c>
      <c r="U20" s="26">
        <f>(('Prot curve calculation'!$B$13-M20)/('Prot curve calculation'!$B$13-'Background tables'!$B$21))</f>
        <v>-1.0952380952380953</v>
      </c>
      <c r="V20" s="26">
        <f t="shared" si="13"/>
        <v>-1.0953826590082094</v>
      </c>
    </row>
    <row r="21" spans="1:22" ht="12.75">
      <c r="A21" s="16" t="s">
        <v>33</v>
      </c>
      <c r="B21" s="18">
        <f>'Prot curve calculation'!B17</f>
        <v>2</v>
      </c>
      <c r="C21" s="24">
        <v>95</v>
      </c>
      <c r="D21" s="25">
        <f t="shared" si="0"/>
        <v>840.4761133603232</v>
      </c>
      <c r="E21" s="25">
        <f t="shared" si="7"/>
        <v>3336.3797364360553</v>
      </c>
      <c r="F21" s="25">
        <f t="shared" si="8"/>
        <v>6045.333799154211</v>
      </c>
      <c r="G21" s="26">
        <f>(IF(C21&lt;='Prot curve calculation'!$B$3,D21/$C$25,IF(C21&gt;='Prot curve calculation'!$B$4,F21/$C$27,E21/$C$26)))</f>
        <v>20.38983253588515</v>
      </c>
      <c r="H21" s="26">
        <f t="shared" si="9"/>
        <v>2.2471741221741226</v>
      </c>
      <c r="I21" s="25">
        <f t="shared" si="1"/>
        <v>0.04326298701298692</v>
      </c>
      <c r="J21" s="25">
        <f t="shared" si="2"/>
        <v>3.6052489177489098</v>
      </c>
      <c r="K21" s="26">
        <f t="shared" si="10"/>
        <v>1.3580747955747872</v>
      </c>
      <c r="L21" s="27">
        <f t="shared" si="3"/>
        <v>0.18141053391053297</v>
      </c>
      <c r="M21" s="24">
        <v>95</v>
      </c>
      <c r="N21" s="25">
        <f t="shared" si="4"/>
        <v>0.824593335956968</v>
      </c>
      <c r="O21" s="32">
        <f>(O20-O22)/2+O22</f>
        <v>1</v>
      </c>
      <c r="P21" s="32">
        <f>(P20-P22)/2+P22</f>
        <v>2.15</v>
      </c>
      <c r="Q21" s="26">
        <f t="shared" si="11"/>
        <v>0</v>
      </c>
      <c r="R21" s="26">
        <f t="shared" si="12"/>
        <v>0</v>
      </c>
      <c r="S21" s="26">
        <f t="shared" si="5"/>
        <v>0</v>
      </c>
      <c r="T21" s="3">
        <f t="shared" si="6"/>
        <v>-4.382509740071461</v>
      </c>
      <c r="U21" s="26">
        <f>(('Prot curve calculation'!$B$13-M21)/('Prot curve calculation'!$B$13-'Background tables'!$B$21))</f>
        <v>-1.2142857142857142</v>
      </c>
      <c r="V21" s="26">
        <f t="shared" si="13"/>
        <v>-1.2159604986849561</v>
      </c>
    </row>
    <row r="22" spans="1:22" ht="12.75">
      <c r="A22" s="1"/>
      <c r="B22" s="4"/>
      <c r="C22" s="24">
        <v>100</v>
      </c>
      <c r="D22" s="25">
        <f t="shared" si="0"/>
        <v>884.3975708502016</v>
      </c>
      <c r="E22" s="25">
        <f t="shared" si="7"/>
        <v>3447.5057355822337</v>
      </c>
      <c r="F22" s="25">
        <f t="shared" si="8"/>
        <v>6126.761511406765</v>
      </c>
      <c r="G22" s="26">
        <f>(IF(C22&lt;='Prot curve calculation'!$B$3,D22/$C$25,IF(C22&gt;='Prot curve calculation'!$B$4,F22/$C$27,E22/$C$26)))</f>
        <v>20.66447368421051</v>
      </c>
      <c r="H22" s="26">
        <f t="shared" si="9"/>
        <v>2.2784391534391535</v>
      </c>
      <c r="I22" s="25">
        <f t="shared" si="1"/>
        <v>0.03482142857142856</v>
      </c>
      <c r="J22" s="25">
        <f t="shared" si="2"/>
        <v>2.901785714285713</v>
      </c>
      <c r="K22" s="26">
        <f t="shared" si="10"/>
        <v>0.6233465608465596</v>
      </c>
      <c r="L22" s="27">
        <f t="shared" si="3"/>
        <v>0.0982301587301586</v>
      </c>
      <c r="M22" s="24">
        <v>100</v>
      </c>
      <c r="N22" s="25">
        <f t="shared" si="4"/>
        <v>0.4465007215007209</v>
      </c>
      <c r="O22" s="32">
        <v>0.9</v>
      </c>
      <c r="P22" s="32">
        <v>1.8</v>
      </c>
      <c r="Q22" s="26">
        <f t="shared" si="11"/>
        <v>0</v>
      </c>
      <c r="R22" s="26">
        <f t="shared" si="12"/>
        <v>0</v>
      </c>
      <c r="S22" s="26">
        <f t="shared" si="5"/>
        <v>0</v>
      </c>
      <c r="T22" s="3">
        <f t="shared" si="6"/>
        <v>-5.527895176226461</v>
      </c>
      <c r="U22" s="26">
        <f>(('Prot curve calculation'!$B$13-M22)/('Prot curve calculation'!$B$13-'Background tables'!$B$21))</f>
        <v>-1.3333333333333333</v>
      </c>
      <c r="V22" s="26">
        <f t="shared" si="13"/>
        <v>-1.3398369094541218</v>
      </c>
    </row>
    <row r="24" spans="1:2" ht="12.75">
      <c r="A24" s="1"/>
      <c r="B24" s="3"/>
    </row>
    <row r="25" spans="1:16" ht="14.25" customHeight="1">
      <c r="A25" s="36" t="s">
        <v>35</v>
      </c>
      <c r="C25" s="25">
        <f>$B$14+$B$15</f>
        <v>17.96647773279352</v>
      </c>
      <c r="I25" s="3"/>
      <c r="K25" s="3"/>
      <c r="N25" s="3"/>
      <c r="P25" s="3"/>
    </row>
    <row r="26" spans="1:3" ht="12.75">
      <c r="A26" s="36" t="s">
        <v>34</v>
      </c>
      <c r="C26" s="25">
        <f>$B$14*$B$5+$B$15*$B$5+$B$14*$B$15</f>
        <v>126.11611650238265</v>
      </c>
    </row>
    <row r="27" spans="1:3" ht="12.75">
      <c r="A27" s="36" t="s">
        <v>36</v>
      </c>
      <c r="C27" s="25">
        <f>(($B$5*$B$6*$B$14)+($B$6*$B$14*$B$15)+($B$5*$B$14*$B$15)+($B$5*$B$6*$B$15))</f>
        <v>296.4876630798564</v>
      </c>
    </row>
    <row r="30" spans="1:3" ht="25.5" customHeight="1">
      <c r="A30" s="39" t="s">
        <v>49</v>
      </c>
      <c r="C30">
        <f>'Prot curve calculation'!B16/180*PI()</f>
        <v>-0.7853981633974483</v>
      </c>
    </row>
    <row r="31" spans="1:3" ht="12.75">
      <c r="A31" t="s">
        <v>50</v>
      </c>
      <c r="C31">
        <f>('Prot curve calculation'!B13-'Prot curve calculation'!B17)/'Prot curve calculation'!B14</f>
        <v>10.5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37" t="s">
        <v>40</v>
      </c>
    </row>
    <row r="3" ht="12.75">
      <c r="A3" t="s">
        <v>41</v>
      </c>
    </row>
    <row r="4" ht="12.75">
      <c r="A4" t="s">
        <v>44</v>
      </c>
    </row>
    <row r="6" ht="12.75">
      <c r="A6" t="s">
        <v>54</v>
      </c>
    </row>
    <row r="7" ht="12.75">
      <c r="A7" t="s">
        <v>42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43</v>
      </c>
    </row>
    <row r="14" ht="12.75">
      <c r="A14" t="s">
        <v>76</v>
      </c>
    </row>
    <row r="15" ht="12.75">
      <c r="A15" t="s">
        <v>77</v>
      </c>
    </row>
    <row r="16" ht="12.75">
      <c r="A16" t="s">
        <v>45</v>
      </c>
    </row>
    <row r="18" ht="12.75">
      <c r="A18" t="s">
        <v>74</v>
      </c>
    </row>
    <row r="21" ht="12.75">
      <c r="A21" t="s">
        <v>47</v>
      </c>
    </row>
    <row r="22" ht="12.75">
      <c r="A22" t="s">
        <v>46</v>
      </c>
    </row>
    <row r="23" ht="12.75">
      <c r="A23" t="s">
        <v>72</v>
      </c>
    </row>
    <row r="24" ht="12.75">
      <c r="A24" t="s">
        <v>73</v>
      </c>
    </row>
    <row r="26" ht="12.75">
      <c r="A26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Janneman</dc:creator>
  <cp:keywords/>
  <dc:description/>
  <cp:lastModifiedBy>Janneman</cp:lastModifiedBy>
  <cp:lastPrinted>2008-06-06T08:37:49Z</cp:lastPrinted>
  <dcterms:created xsi:type="dcterms:W3CDTF">2007-03-01T11:51:21Z</dcterms:created>
  <dcterms:modified xsi:type="dcterms:W3CDTF">2008-06-09T13:13:59Z</dcterms:modified>
  <cp:category/>
  <cp:version/>
  <cp:contentType/>
  <cp:contentStatus/>
</cp:coreProperties>
</file>